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35" windowHeight="7365"/>
  </bookViews>
  <sheets>
    <sheet name="Income Statement - Summary" sheetId="1" r:id="rId1"/>
    <sheet name="Department Detail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xlnm.Print_Area" localSheetId="1">'Department Detail'!$A$1:$BC$84</definedName>
    <definedName name="_xlnm.Print_Area" localSheetId="0">'Income Statement - Summary'!$A$1:$N$46</definedName>
    <definedName name="_xlnm.Print_Titles" localSheetId="1">'Department Detail'!$A:$C</definedName>
  </definedNames>
  <calcPr calcId="125725"/>
</workbook>
</file>

<file path=xl/calcChain.xml><?xml version="1.0" encoding="utf-8"?>
<calcChain xmlns="http://schemas.openxmlformats.org/spreadsheetml/2006/main">
  <c r="Z93" i="2"/>
  <c r="BB82"/>
  <c r="BB81"/>
  <c r="BB80"/>
  <c r="BA73"/>
  <c r="BB73" s="1"/>
  <c r="AV72"/>
  <c r="AJ72"/>
  <c r="BB72" s="1"/>
  <c r="BA71"/>
  <c r="AW71"/>
  <c r="AV71"/>
  <c r="AU71"/>
  <c r="AS71"/>
  <c r="AQ71"/>
  <c r="AP71"/>
  <c r="AJ71"/>
  <c r="AI71"/>
  <c r="AH71"/>
  <c r="AB71"/>
  <c r="Z71"/>
  <c r="Y71"/>
  <c r="P71"/>
  <c r="O71"/>
  <c r="M71"/>
  <c r="K71"/>
  <c r="H71"/>
  <c r="BB71"/>
  <c r="AX70"/>
  <c r="AW70"/>
  <c r="AV70"/>
  <c r="AT70"/>
  <c r="AS70"/>
  <c r="AR70"/>
  <c r="AQ70"/>
  <c r="AP70"/>
  <c r="AJ70"/>
  <c r="AI70"/>
  <c r="AH70"/>
  <c r="AD70"/>
  <c r="AB70"/>
  <c r="AA70"/>
  <c r="Z70"/>
  <c r="Y70"/>
  <c r="T70"/>
  <c r="R70"/>
  <c r="Q70"/>
  <c r="P70"/>
  <c r="O70"/>
  <c r="M70"/>
  <c r="L70"/>
  <c r="K70"/>
  <c r="J70"/>
  <c r="H70"/>
  <c r="F70"/>
  <c r="E70"/>
  <c r="BB70" s="1"/>
  <c r="AX69"/>
  <c r="AW69"/>
  <c r="AV69"/>
  <c r="AU69"/>
  <c r="AT69"/>
  <c r="AS69"/>
  <c r="AR69"/>
  <c r="AP69"/>
  <c r="AK69"/>
  <c r="AJ69"/>
  <c r="AI69"/>
  <c r="AH69"/>
  <c r="AD69"/>
  <c r="AB69"/>
  <c r="AA69"/>
  <c r="Z69"/>
  <c r="Y69"/>
  <c r="U69"/>
  <c r="T69"/>
  <c r="S69"/>
  <c r="R69"/>
  <c r="Q69"/>
  <c r="P69"/>
  <c r="O69"/>
  <c r="M69"/>
  <c r="L69"/>
  <c r="K69"/>
  <c r="J69"/>
  <c r="H69"/>
  <c r="F69"/>
  <c r="E69"/>
  <c r="BB69" s="1"/>
  <c r="AZ68"/>
  <c r="AV68"/>
  <c r="AU68"/>
  <c r="AS68"/>
  <c r="AR68"/>
  <c r="AL68"/>
  <c r="AK68"/>
  <c r="AJ68"/>
  <c r="AH68"/>
  <c r="Z68"/>
  <c r="V68"/>
  <c r="O68"/>
  <c r="M68"/>
  <c r="L68"/>
  <c r="K68"/>
  <c r="J68"/>
  <c r="H68"/>
  <c r="E68"/>
  <c r="BB68"/>
  <c r="AX67"/>
  <c r="AW67"/>
  <c r="AV67"/>
  <c r="AU67"/>
  <c r="AT67"/>
  <c r="AS67"/>
  <c r="AR67"/>
  <c r="AP67"/>
  <c r="AK67"/>
  <c r="AJ67"/>
  <c r="AI67"/>
  <c r="AH67"/>
  <c r="AD67"/>
  <c r="AB67"/>
  <c r="AA67"/>
  <c r="Z67"/>
  <c r="Y67"/>
  <c r="V67"/>
  <c r="U67"/>
  <c r="P67"/>
  <c r="O67"/>
  <c r="M67"/>
  <c r="L67"/>
  <c r="K67"/>
  <c r="J67"/>
  <c r="H67"/>
  <c r="F67"/>
  <c r="E67"/>
  <c r="D67"/>
  <c r="BB67"/>
  <c r="AR66"/>
  <c r="AP66"/>
  <c r="AJ66"/>
  <c r="AI66"/>
  <c r="AF66"/>
  <c r="AE66"/>
  <c r="AB66"/>
  <c r="Z66"/>
  <c r="Y66"/>
  <c r="V66"/>
  <c r="U66"/>
  <c r="P66"/>
  <c r="M66"/>
  <c r="L66"/>
  <c r="E66"/>
  <c r="BB66" s="1"/>
  <c r="AW65"/>
  <c r="AV65"/>
  <c r="AU65"/>
  <c r="AS65"/>
  <c r="AR65"/>
  <c r="AK65"/>
  <c r="AJ65"/>
  <c r="AI65"/>
  <c r="AH65"/>
  <c r="AD65"/>
  <c r="AA65"/>
  <c r="Z65"/>
  <c r="Y65"/>
  <c r="T65"/>
  <c r="S65"/>
  <c r="P65"/>
  <c r="O65"/>
  <c r="M65"/>
  <c r="H65"/>
  <c r="E65"/>
  <c r="BB65" s="1"/>
  <c r="AX64"/>
  <c r="AW64"/>
  <c r="AV64"/>
  <c r="AS64"/>
  <c r="AJ64"/>
  <c r="AI64"/>
  <c r="AD64"/>
  <c r="Y64"/>
  <c r="U64"/>
  <c r="H64"/>
  <c r="BB64"/>
  <c r="AR63"/>
  <c r="AP63"/>
  <c r="AJ63"/>
  <c r="AI63"/>
  <c r="D63"/>
  <c r="BB63" s="1"/>
  <c r="AU62"/>
  <c r="AR62"/>
  <c r="AP62"/>
  <c r="AJ62"/>
  <c r="Z62"/>
  <c r="R62"/>
  <c r="M62"/>
  <c r="H62"/>
  <c r="E62"/>
  <c r="BB62" s="1"/>
  <c r="AP61"/>
  <c r="AJ61"/>
  <c r="AR60"/>
  <c r="AJ60"/>
  <c r="BB60" s="1"/>
  <c r="BA59"/>
  <c r="AJ59"/>
  <c r="Z59"/>
  <c r="T59"/>
  <c r="S59"/>
  <c r="Q59"/>
  <c r="P59"/>
  <c r="H59"/>
  <c r="F59"/>
  <c r="E59"/>
  <c r="BB59"/>
  <c r="BA58"/>
  <c r="AX58"/>
  <c r="AU58"/>
  <c r="AT58"/>
  <c r="AQ58"/>
  <c r="AP58"/>
  <c r="AN58"/>
  <c r="AM58"/>
  <c r="AK58"/>
  <c r="AJ58"/>
  <c r="AI58"/>
  <c r="AH58"/>
  <c r="AG58"/>
  <c r="AF58"/>
  <c r="AE58"/>
  <c r="Z58"/>
  <c r="Y58"/>
  <c r="V58"/>
  <c r="T58"/>
  <c r="R58"/>
  <c r="P58"/>
  <c r="O58"/>
  <c r="M58"/>
  <c r="L58"/>
  <c r="K58"/>
  <c r="H58"/>
  <c r="F58"/>
  <c r="E58"/>
  <c r="BB58" s="1"/>
  <c r="AJ57"/>
  <c r="Z57"/>
  <c r="Y57"/>
  <c r="T57"/>
  <c r="P57"/>
  <c r="F57"/>
  <c r="BB57"/>
  <c r="AY56"/>
  <c r="AX56"/>
  <c r="AW56"/>
  <c r="AV56"/>
  <c r="AU56"/>
  <c r="AR56"/>
  <c r="AP56"/>
  <c r="AO56"/>
  <c r="AN56"/>
  <c r="AM56"/>
  <c r="AK56"/>
  <c r="AJ56"/>
  <c r="AI56"/>
  <c r="AH56"/>
  <c r="AB56"/>
  <c r="AA56"/>
  <c r="Z56"/>
  <c r="Y56"/>
  <c r="V56"/>
  <c r="R56"/>
  <c r="O56"/>
  <c r="M56"/>
  <c r="K56"/>
  <c r="H56"/>
  <c r="F56"/>
  <c r="E56"/>
  <c r="D56"/>
  <c r="BB56" s="1"/>
  <c r="AR55"/>
  <c r="AP55"/>
  <c r="AJ55"/>
  <c r="AI55"/>
  <c r="Y55"/>
  <c r="O55"/>
  <c r="BB55" s="1"/>
  <c r="AP54"/>
  <c r="AJ54"/>
  <c r="D54"/>
  <c r="BB54" s="1"/>
  <c r="AP53"/>
  <c r="AJ53"/>
  <c r="AI53"/>
  <c r="BB53" s="1"/>
  <c r="AJ52"/>
  <c r="D52"/>
  <c r="BB52"/>
  <c r="AP51"/>
  <c r="AJ51"/>
  <c r="AI51"/>
  <c r="BB51" s="1"/>
  <c r="AP50"/>
  <c r="AJ50"/>
  <c r="AI50"/>
  <c r="BB50" s="1"/>
  <c r="BA49"/>
  <c r="AX49"/>
  <c r="AW49"/>
  <c r="AT49"/>
  <c r="AQ49"/>
  <c r="AN49"/>
  <c r="AM49"/>
  <c r="AK49"/>
  <c r="AJ49"/>
  <c r="AI49"/>
  <c r="AH49"/>
  <c r="AB49"/>
  <c r="Z49"/>
  <c r="Y49"/>
  <c r="V49"/>
  <c r="T49"/>
  <c r="R49"/>
  <c r="P49"/>
  <c r="O49"/>
  <c r="N49"/>
  <c r="M49"/>
  <c r="K49"/>
  <c r="H49"/>
  <c r="F49"/>
  <c r="E49"/>
  <c r="BB49" s="1"/>
  <c r="AY48"/>
  <c r="AX48"/>
  <c r="AW48"/>
  <c r="AV48"/>
  <c r="AU48"/>
  <c r="AQ48"/>
  <c r="AP48"/>
  <c r="AO48"/>
  <c r="AN48"/>
  <c r="AM48"/>
  <c r="AK48"/>
  <c r="AJ48"/>
  <c r="AI48"/>
  <c r="AH48"/>
  <c r="AB48"/>
  <c r="AA48"/>
  <c r="Y48"/>
  <c r="V48"/>
  <c r="T48"/>
  <c r="R48"/>
  <c r="P48"/>
  <c r="O48"/>
  <c r="M48"/>
  <c r="K48"/>
  <c r="H48"/>
  <c r="F48"/>
  <c r="E48"/>
  <c r="BB48" s="1"/>
  <c r="AJ47"/>
  <c r="AI47"/>
  <c r="V47"/>
  <c r="R47"/>
  <c r="M47"/>
  <c r="L47"/>
  <c r="K47"/>
  <c r="H47"/>
  <c r="F47"/>
  <c r="E47"/>
  <c r="BB47" s="1"/>
  <c r="AT46"/>
  <c r="AN46"/>
  <c r="AK46"/>
  <c r="AJ46"/>
  <c r="M46"/>
  <c r="K46"/>
  <c r="F46"/>
  <c r="BB46" s="1"/>
  <c r="AY45"/>
  <c r="AX45"/>
  <c r="AW45"/>
  <c r="AV45"/>
  <c r="AU45"/>
  <c r="AT45"/>
  <c r="AS45"/>
  <c r="AR45"/>
  <c r="AQ45"/>
  <c r="AP45"/>
  <c r="AN45"/>
  <c r="AK45"/>
  <c r="AJ45"/>
  <c r="AI45"/>
  <c r="AH45"/>
  <c r="AD45"/>
  <c r="AB45"/>
  <c r="AA45"/>
  <c r="Z45"/>
  <c r="Y45"/>
  <c r="V45"/>
  <c r="T45"/>
  <c r="R45"/>
  <c r="P45"/>
  <c r="O45"/>
  <c r="M45"/>
  <c r="L45"/>
  <c r="K45"/>
  <c r="J45"/>
  <c r="H45"/>
  <c r="F45"/>
  <c r="E45"/>
  <c r="D45"/>
  <c r="BB45" s="1"/>
  <c r="AN44"/>
  <c r="AM44"/>
  <c r="AK44"/>
  <c r="AJ44"/>
  <c r="AI44"/>
  <c r="Z44"/>
  <c r="Y44"/>
  <c r="V44"/>
  <c r="R44"/>
  <c r="K44"/>
  <c r="F44"/>
  <c r="E44"/>
  <c r="BB44"/>
  <c r="AM43"/>
  <c r="AJ43"/>
  <c r="F43"/>
  <c r="E43"/>
  <c r="BB43" s="1"/>
  <c r="BA42"/>
  <c r="AK42"/>
  <c r="AJ42"/>
  <c r="Z42"/>
  <c r="BB42"/>
  <c r="AT41"/>
  <c r="AQ41"/>
  <c r="AN41"/>
  <c r="AK41"/>
  <c r="AJ41"/>
  <c r="AI41"/>
  <c r="AB41"/>
  <c r="Z41"/>
  <c r="Y41"/>
  <c r="W41"/>
  <c r="V41"/>
  <c r="T41"/>
  <c r="R41"/>
  <c r="Q41"/>
  <c r="P41"/>
  <c r="O41"/>
  <c r="M41"/>
  <c r="L41"/>
  <c r="K41"/>
  <c r="H41"/>
  <c r="F41"/>
  <c r="E41"/>
  <c r="D41"/>
  <c r="BB41" s="1"/>
  <c r="AJ40"/>
  <c r="AI40"/>
  <c r="O40"/>
  <c r="BB40" s="1"/>
  <c r="BA39"/>
  <c r="AJ39"/>
  <c r="AI39"/>
  <c r="Z39"/>
  <c r="Y39"/>
  <c r="V39"/>
  <c r="T39"/>
  <c r="R39"/>
  <c r="P39"/>
  <c r="O39"/>
  <c r="L39"/>
  <c r="H39"/>
  <c r="F39"/>
  <c r="E39"/>
  <c r="BB39" s="1"/>
  <c r="AJ38"/>
  <c r="P38"/>
  <c r="BB38"/>
  <c r="AJ37"/>
  <c r="AI37"/>
  <c r="R37"/>
  <c r="BB37" s="1"/>
  <c r="BA36"/>
  <c r="AJ36"/>
  <c r="Z36"/>
  <c r="Y36"/>
  <c r="V36"/>
  <c r="T36"/>
  <c r="R36"/>
  <c r="P36"/>
  <c r="O36"/>
  <c r="M36"/>
  <c r="L36"/>
  <c r="K36"/>
  <c r="F36"/>
  <c r="E36"/>
  <c r="D36"/>
  <c r="BB36" s="1"/>
  <c r="AS35"/>
  <c r="BB35" s="1"/>
  <c r="AV34"/>
  <c r="AR34"/>
  <c r="BB34" s="1"/>
  <c r="AV33"/>
  <c r="AS33"/>
  <c r="AR33"/>
  <c r="BB33" s="1"/>
  <c r="X32"/>
  <c r="M32"/>
  <c r="BB32"/>
  <c r="BB31"/>
  <c r="AJ30"/>
  <c r="BB30"/>
  <c r="BE73" s="1"/>
  <c r="BA29"/>
  <c r="BB29"/>
  <c r="AZ28"/>
  <c r="AZ76"/>
  <c r="AG28"/>
  <c r="AG76"/>
  <c r="AG77" s="1"/>
  <c r="AF28"/>
  <c r="AF76" s="1"/>
  <c r="AF77" s="1"/>
  <c r="AE28"/>
  <c r="AE76"/>
  <c r="AE77" s="1"/>
  <c r="X28"/>
  <c r="X76"/>
  <c r="X77" s="1"/>
  <c r="I28"/>
  <c r="I76" s="1"/>
  <c r="G28"/>
  <c r="G76" s="1"/>
  <c r="BA27"/>
  <c r="BA28" s="1"/>
  <c r="BA76" s="1"/>
  <c r="BA84" s="1"/>
  <c r="AY27"/>
  <c r="AY28" s="1"/>
  <c r="AY76" s="1"/>
  <c r="AY77" s="1"/>
  <c r="AX27"/>
  <c r="AW27"/>
  <c r="AW28"/>
  <c r="AV27"/>
  <c r="AU27"/>
  <c r="AU28" s="1"/>
  <c r="AU76" s="1"/>
  <c r="AU77" s="1"/>
  <c r="AT27"/>
  <c r="AS27"/>
  <c r="AS28"/>
  <c r="AR27"/>
  <c r="AQ27"/>
  <c r="AQ28" s="1"/>
  <c r="AQ76" s="1"/>
  <c r="AQ77" s="1"/>
  <c r="AP27"/>
  <c r="AO27"/>
  <c r="AO28"/>
  <c r="AN27"/>
  <c r="AM27"/>
  <c r="AM28" s="1"/>
  <c r="AM76" s="1"/>
  <c r="AM77" s="1"/>
  <c r="AL27"/>
  <c r="AK27"/>
  <c r="AK28"/>
  <c r="AJ27"/>
  <c r="AI27"/>
  <c r="AI28" s="1"/>
  <c r="AI76" s="1"/>
  <c r="AI77" s="1"/>
  <c r="AH27"/>
  <c r="AD27"/>
  <c r="AC27"/>
  <c r="AC28" s="1"/>
  <c r="AC76" s="1"/>
  <c r="AC84" s="1"/>
  <c r="AB27"/>
  <c r="AA27"/>
  <c r="AA28" s="1"/>
  <c r="AA76" s="1"/>
  <c r="AA77" s="1"/>
  <c r="Z27"/>
  <c r="Y27"/>
  <c r="Y28"/>
  <c r="Y76" s="1"/>
  <c r="Y77" s="1"/>
  <c r="W27"/>
  <c r="W28"/>
  <c r="W76" s="1"/>
  <c r="W77" s="1"/>
  <c r="V27"/>
  <c r="U27"/>
  <c r="U28" s="1"/>
  <c r="U76" s="1"/>
  <c r="U77" s="1"/>
  <c r="T27"/>
  <c r="S27"/>
  <c r="S28"/>
  <c r="S76" s="1"/>
  <c r="S77" s="1"/>
  <c r="R27"/>
  <c r="Q27"/>
  <c r="Q28" s="1"/>
  <c r="Q76" s="1"/>
  <c r="Q77" s="1"/>
  <c r="P27"/>
  <c r="O27"/>
  <c r="O28"/>
  <c r="O76" s="1"/>
  <c r="O77" s="1"/>
  <c r="N27"/>
  <c r="M27"/>
  <c r="M28" s="1"/>
  <c r="M76" s="1"/>
  <c r="M77" s="1"/>
  <c r="L27"/>
  <c r="K27"/>
  <c r="K28"/>
  <c r="K76" s="1"/>
  <c r="K77" s="1"/>
  <c r="J27"/>
  <c r="H27"/>
  <c r="F27"/>
  <c r="E27"/>
  <c r="E28" s="1"/>
  <c r="D27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BB21"/>
  <c r="BB20"/>
  <c r="BB19"/>
  <c r="BB22" s="1"/>
  <c r="AZ16"/>
  <c r="AY16"/>
  <c r="AW16"/>
  <c r="AV16"/>
  <c r="AU16"/>
  <c r="AT16"/>
  <c r="AS16"/>
  <c r="AR16"/>
  <c r="AP16"/>
  <c r="AO16"/>
  <c r="AN16"/>
  <c r="AM16"/>
  <c r="AL16"/>
  <c r="AH16"/>
  <c r="AG16"/>
  <c r="AF16"/>
  <c r="AD16"/>
  <c r="AC16"/>
  <c r="AB16"/>
  <c r="AA16"/>
  <c r="W16"/>
  <c r="J16"/>
  <c r="AZ14"/>
  <c r="AZ24" s="1"/>
  <c r="AZ84" s="1"/>
  <c r="AY14"/>
  <c r="AY24"/>
  <c r="AY84" s="1"/>
  <c r="AX14"/>
  <c r="AX24" s="1"/>
  <c r="AW14"/>
  <c r="AW24" s="1"/>
  <c r="AW84" s="1"/>
  <c r="AV14"/>
  <c r="AV24"/>
  <c r="AU14"/>
  <c r="AU24"/>
  <c r="AU84" s="1"/>
  <c r="AT14"/>
  <c r="AT24" s="1"/>
  <c r="AT84" s="1"/>
  <c r="AS14"/>
  <c r="AS24"/>
  <c r="AS84" s="1"/>
  <c r="AR14"/>
  <c r="AR24" s="1"/>
  <c r="AR84" s="1"/>
  <c r="AQ14"/>
  <c r="AQ24" s="1"/>
  <c r="AQ84" s="1"/>
  <c r="AP14"/>
  <c r="AP24"/>
  <c r="AO14"/>
  <c r="AO24"/>
  <c r="AO84" s="1"/>
  <c r="AN14"/>
  <c r="AN24" s="1"/>
  <c r="AN84" s="1"/>
  <c r="AM14"/>
  <c r="AM24" s="1"/>
  <c r="AL14"/>
  <c r="AL24"/>
  <c r="AK14"/>
  <c r="AK24"/>
  <c r="AK84" s="1"/>
  <c r="AJ14"/>
  <c r="AI14"/>
  <c r="AH14"/>
  <c r="AH24" s="1"/>
  <c r="AH84" s="1"/>
  <c r="AG14"/>
  <c r="AG24"/>
  <c r="AG84" s="1"/>
  <c r="AF14"/>
  <c r="AF24" s="1"/>
  <c r="AF84" s="1"/>
  <c r="AE14"/>
  <c r="AE24"/>
  <c r="AE84" s="1"/>
  <c r="AD14"/>
  <c r="AC14"/>
  <c r="AC24"/>
  <c r="AB14"/>
  <c r="AB24"/>
  <c r="AA14"/>
  <c r="AA24"/>
  <c r="AA84" s="1"/>
  <c r="Z14"/>
  <c r="Z24" s="1"/>
  <c r="Z84" s="1"/>
  <c r="Z91" s="1"/>
  <c r="Z95" s="1"/>
  <c r="Y14"/>
  <c r="Y24" s="1"/>
  <c r="Y84" s="1"/>
  <c r="X14"/>
  <c r="X24"/>
  <c r="X84" s="1"/>
  <c r="W14"/>
  <c r="W24" s="1"/>
  <c r="W84" s="1"/>
  <c r="V14"/>
  <c r="V24"/>
  <c r="U14"/>
  <c r="U24"/>
  <c r="U84" s="1"/>
  <c r="T14"/>
  <c r="T24" s="1"/>
  <c r="T84" s="1"/>
  <c r="S14"/>
  <c r="S24" s="1"/>
  <c r="R14"/>
  <c r="R24"/>
  <c r="Q14"/>
  <c r="Q24"/>
  <c r="P14"/>
  <c r="P24" s="1"/>
  <c r="P84" s="1"/>
  <c r="O14"/>
  <c r="O24" s="1"/>
  <c r="O84" s="1"/>
  <c r="N14"/>
  <c r="N24"/>
  <c r="M14"/>
  <c r="M24"/>
  <c r="M84" s="1"/>
  <c r="L14"/>
  <c r="L24" s="1"/>
  <c r="L84" s="1"/>
  <c r="K14"/>
  <c r="K24" s="1"/>
  <c r="J14"/>
  <c r="J24"/>
  <c r="I14"/>
  <c r="I24"/>
  <c r="H14"/>
  <c r="H24" s="1"/>
  <c r="H84" s="1"/>
  <c r="G14"/>
  <c r="G24" s="1"/>
  <c r="G84" s="1"/>
  <c r="F14"/>
  <c r="F24"/>
  <c r="E14"/>
  <c r="E24"/>
  <c r="D14"/>
  <c r="D24" s="1"/>
  <c r="D84" s="1"/>
  <c r="BA13"/>
  <c r="AX13"/>
  <c r="AX16"/>
  <c r="AQ13"/>
  <c r="AQ16"/>
  <c r="AK13"/>
  <c r="AK16"/>
  <c r="AJ13"/>
  <c r="AJ16"/>
  <c r="AJ24" s="1"/>
  <c r="AI13"/>
  <c r="AE13"/>
  <c r="AE16"/>
  <c r="Z13"/>
  <c r="X13"/>
  <c r="X16" s="1"/>
  <c r="P13"/>
  <c r="BB13" s="1"/>
  <c r="BC13" s="1"/>
  <c r="BA12"/>
  <c r="AI12"/>
  <c r="AI16" s="1"/>
  <c r="AI24" s="1"/>
  <c r="AI84" s="1"/>
  <c r="BA11"/>
  <c r="Y11"/>
  <c r="T11"/>
  <c r="S11"/>
  <c r="P11"/>
  <c r="O11"/>
  <c r="L11"/>
  <c r="K11"/>
  <c r="BA9"/>
  <c r="BA16" s="1"/>
  <c r="H9"/>
  <c r="G9"/>
  <c r="F9"/>
  <c r="E9"/>
  <c r="AY6"/>
  <c r="AX6"/>
  <c r="AW6"/>
  <c r="AV6"/>
  <c r="AU6"/>
  <c r="AT6"/>
  <c r="AS6"/>
  <c r="AR6"/>
  <c r="AQ6"/>
  <c r="AP6"/>
  <c r="AO6"/>
  <c r="AN6"/>
  <c r="AM6"/>
  <c r="AK6"/>
  <c r="AJ6"/>
  <c r="AI6"/>
  <c r="AH6"/>
  <c r="AG6"/>
  <c r="AF6"/>
  <c r="AE6"/>
  <c r="AD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H6"/>
  <c r="F6"/>
  <c r="E6"/>
  <c r="D6"/>
  <c r="BB6" s="1"/>
  <c r="AY5"/>
  <c r="AX5"/>
  <c r="AW5"/>
  <c r="AV5"/>
  <c r="AU5"/>
  <c r="AT5"/>
  <c r="AS5"/>
  <c r="AR5"/>
  <c r="AQ5"/>
  <c r="AP5"/>
  <c r="AO5"/>
  <c r="AN5"/>
  <c r="AM5"/>
  <c r="AK5"/>
  <c r="AJ5"/>
  <c r="AI5"/>
  <c r="AH5"/>
  <c r="AG5"/>
  <c r="AF5"/>
  <c r="AE5"/>
  <c r="AD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H5"/>
  <c r="F5"/>
  <c r="E5"/>
  <c r="D5"/>
  <c r="BB5"/>
  <c r="AM4"/>
  <c r="AK4"/>
  <c r="AJ4"/>
  <c r="AI4"/>
  <c r="Z4"/>
  <c r="Y4"/>
  <c r="V4"/>
  <c r="U4"/>
  <c r="T4"/>
  <c r="S4"/>
  <c r="R4"/>
  <c r="Q4"/>
  <c r="P4"/>
  <c r="O4"/>
  <c r="N4"/>
  <c r="M4"/>
  <c r="L4"/>
  <c r="K4"/>
  <c r="I4"/>
  <c r="H4"/>
  <c r="G4"/>
  <c r="F4"/>
  <c r="E4"/>
  <c r="D4"/>
  <c r="K44" i="1"/>
  <c r="I44"/>
  <c r="K43"/>
  <c r="K42"/>
  <c r="M42" s="1"/>
  <c r="N42" s="1"/>
  <c r="G37"/>
  <c r="K35"/>
  <c r="I35"/>
  <c r="K34"/>
  <c r="I34"/>
  <c r="K33"/>
  <c r="I33"/>
  <c r="K32"/>
  <c r="I32"/>
  <c r="K31"/>
  <c r="I31"/>
  <c r="E31"/>
  <c r="K30"/>
  <c r="I30"/>
  <c r="M30" s="1"/>
  <c r="N30" s="1"/>
  <c r="K29"/>
  <c r="I29"/>
  <c r="M29" s="1"/>
  <c r="N29" s="1"/>
  <c r="E29"/>
  <c r="E37"/>
  <c r="C29"/>
  <c r="C37"/>
  <c r="K28"/>
  <c r="I28"/>
  <c r="K27"/>
  <c r="I27"/>
  <c r="I25" s="1"/>
  <c r="K26"/>
  <c r="K37"/>
  <c r="I26"/>
  <c r="I37"/>
  <c r="E25"/>
  <c r="C25"/>
  <c r="G21"/>
  <c r="E21"/>
  <c r="K19"/>
  <c r="K18"/>
  <c r="K17"/>
  <c r="K21" s="1"/>
  <c r="C17"/>
  <c r="C21" s="1"/>
  <c r="C23" s="1"/>
  <c r="C39" s="1"/>
  <c r="C46" s="1"/>
  <c r="G14"/>
  <c r="G23"/>
  <c r="G39" s="1"/>
  <c r="G46" s="1"/>
  <c r="E14"/>
  <c r="E23"/>
  <c r="E39" s="1"/>
  <c r="E46" s="1"/>
  <c r="C14"/>
  <c r="K12"/>
  <c r="M12" s="1"/>
  <c r="N12" s="1"/>
  <c r="I12"/>
  <c r="K11"/>
  <c r="I11"/>
  <c r="K10"/>
  <c r="P10" s="1"/>
  <c r="I10"/>
  <c r="K9"/>
  <c r="I9"/>
  <c r="K8"/>
  <c r="M8" s="1"/>
  <c r="N8" s="1"/>
  <c r="I8"/>
  <c r="I19"/>
  <c r="M32"/>
  <c r="N32" s="1"/>
  <c r="M34"/>
  <c r="N34" s="1"/>
  <c r="F28" i="2"/>
  <c r="F76" s="1"/>
  <c r="AH28"/>
  <c r="AH76"/>
  <c r="AH77" s="1"/>
  <c r="AL28"/>
  <c r="AL76" s="1"/>
  <c r="AP28"/>
  <c r="AP76" s="1"/>
  <c r="AT28"/>
  <c r="AT76"/>
  <c r="AT77" s="1"/>
  <c r="AX28"/>
  <c r="AX76" s="1"/>
  <c r="AX77" s="1"/>
  <c r="E12"/>
  <c r="E16"/>
  <c r="G12"/>
  <c r="G16"/>
  <c r="K12"/>
  <c r="K16"/>
  <c r="O12"/>
  <c r="O16"/>
  <c r="S12"/>
  <c r="S16"/>
  <c r="Y12"/>
  <c r="Y16"/>
  <c r="BA14"/>
  <c r="D28"/>
  <c r="D76"/>
  <c r="D77" s="1"/>
  <c r="H28"/>
  <c r="H76" s="1"/>
  <c r="H77" s="1"/>
  <c r="J28"/>
  <c r="J76" s="1"/>
  <c r="L28"/>
  <c r="L76"/>
  <c r="L77" s="1"/>
  <c r="N28"/>
  <c r="N76" s="1"/>
  <c r="P28"/>
  <c r="P76"/>
  <c r="P77" s="1"/>
  <c r="R28"/>
  <c r="R76" s="1"/>
  <c r="T28"/>
  <c r="T76"/>
  <c r="T77" s="1"/>
  <c r="V28"/>
  <c r="V76" s="1"/>
  <c r="Z28"/>
  <c r="Z76"/>
  <c r="Z77" s="1"/>
  <c r="AB28"/>
  <c r="AB76" s="1"/>
  <c r="AD28"/>
  <c r="AD76" s="1"/>
  <c r="AJ28"/>
  <c r="AJ76" s="1"/>
  <c r="AJ77" s="1"/>
  <c r="AN28"/>
  <c r="AN76"/>
  <c r="AN77" s="1"/>
  <c r="AR28"/>
  <c r="AR76" s="1"/>
  <c r="AR77" s="1"/>
  <c r="AV28"/>
  <c r="AV76"/>
  <c r="AK76"/>
  <c r="AK77"/>
  <c r="AO76"/>
  <c r="AO77"/>
  <c r="AS76"/>
  <c r="AS77"/>
  <c r="AW76"/>
  <c r="AW77"/>
  <c r="BB27"/>
  <c r="M9" i="1"/>
  <c r="N9" s="1"/>
  <c r="M11"/>
  <c r="N11" s="1"/>
  <c r="K14"/>
  <c r="P9" s="1"/>
  <c r="I18"/>
  <c r="M18" s="1"/>
  <c r="N18" s="1"/>
  <c r="M25"/>
  <c r="I14"/>
  <c r="I23" s="1"/>
  <c r="I39" s="1"/>
  <c r="I46" s="1"/>
  <c r="I17"/>
  <c r="I21" s="1"/>
  <c r="M19"/>
  <c r="N19" s="1"/>
  <c r="K25"/>
  <c r="M28"/>
  <c r="N28"/>
  <c r="M31"/>
  <c r="N31" s="1"/>
  <c r="P31"/>
  <c r="M33"/>
  <c r="N33"/>
  <c r="M35"/>
  <c r="N35"/>
  <c r="M43"/>
  <c r="N43" s="1"/>
  <c r="M44"/>
  <c r="N44" s="1"/>
  <c r="P43"/>
  <c r="P19"/>
  <c r="P32"/>
  <c r="P11"/>
  <c r="R35"/>
  <c r="R37"/>
  <c r="M37"/>
  <c r="N37" s="1"/>
  <c r="R34"/>
  <c r="R26"/>
  <c r="R31"/>
  <c r="R32"/>
  <c r="R27"/>
  <c r="R33"/>
  <c r="R28"/>
  <c r="R29"/>
  <c r="AV84" i="2"/>
  <c r="AZ77"/>
  <c r="R30" i="1"/>
  <c r="P18"/>
  <c r="P29"/>
  <c r="P14"/>
  <c r="P26"/>
  <c r="M26"/>
  <c r="N26"/>
  <c r="P12"/>
  <c r="M10"/>
  <c r="N10"/>
  <c r="D9" i="2"/>
  <c r="F12"/>
  <c r="I9"/>
  <c r="I16"/>
  <c r="Z10"/>
  <c r="L12"/>
  <c r="L16" s="1"/>
  <c r="M11"/>
  <c r="M16" s="1"/>
  <c r="N11"/>
  <c r="P12"/>
  <c r="P16" s="1"/>
  <c r="Q11"/>
  <c r="Q16" s="1"/>
  <c r="R11"/>
  <c r="T12"/>
  <c r="T16" s="1"/>
  <c r="U11"/>
  <c r="U16" s="1"/>
  <c r="V11"/>
  <c r="R12"/>
  <c r="R16" s="1"/>
  <c r="BB11"/>
  <c r="BC11" s="1"/>
  <c r="M12"/>
  <c r="V12"/>
  <c r="V16" s="1"/>
  <c r="Q12"/>
  <c r="N12"/>
  <c r="N16" s="1"/>
  <c r="BB9"/>
  <c r="BC9" s="1"/>
  <c r="D16"/>
  <c r="U12"/>
  <c r="BB10"/>
  <c r="BC10" s="1"/>
  <c r="Z88"/>
  <c r="Z16"/>
  <c r="F16"/>
  <c r="AB84" l="1"/>
  <c r="AB77"/>
  <c r="R77"/>
  <c r="R84"/>
  <c r="J77"/>
  <c r="J84"/>
  <c r="AP77"/>
  <c r="AP84"/>
  <c r="F77"/>
  <c r="F84"/>
  <c r="M21" i="1"/>
  <c r="N21" s="1"/>
  <c r="P21"/>
  <c r="AJ86" i="2"/>
  <c r="AI86" s="1"/>
  <c r="AI89" s="1"/>
  <c r="E76"/>
  <c r="E77" s="1"/>
  <c r="BB28"/>
  <c r="AD84"/>
  <c r="AD77"/>
  <c r="V77"/>
  <c r="V84"/>
  <c r="N77"/>
  <c r="N84"/>
  <c r="AL77"/>
  <c r="AO78"/>
  <c r="AZ78"/>
  <c r="AL84"/>
  <c r="BB12"/>
  <c r="AJ84"/>
  <c r="AJ89" s="1"/>
  <c r="I84"/>
  <c r="K84"/>
  <c r="Q84"/>
  <c r="S84"/>
  <c r="AM84"/>
  <c r="AX84"/>
  <c r="BB14"/>
  <c r="P17" i="1"/>
  <c r="P30"/>
  <c r="P44"/>
  <c r="P34"/>
  <c r="K23"/>
  <c r="P37"/>
  <c r="P27"/>
  <c r="P42"/>
  <c r="M14"/>
  <c r="N14" s="1"/>
  <c r="P8"/>
  <c r="M17"/>
  <c r="N17" s="1"/>
  <c r="P35"/>
  <c r="P28"/>
  <c r="P33"/>
  <c r="M24"/>
  <c r="M27"/>
  <c r="N27" s="1"/>
  <c r="H12" i="2"/>
  <c r="H16" s="1"/>
  <c r="BB16" s="1"/>
  <c r="BD19" l="1"/>
  <c r="BD14"/>
  <c r="BC14"/>
  <c r="BC12"/>
  <c r="BC19"/>
  <c r="BD20" s="1"/>
  <c r="BC16"/>
  <c r="BB24"/>
  <c r="BD16"/>
  <c r="M23" i="1"/>
  <c r="N23" s="1"/>
  <c r="K39"/>
  <c r="Q44"/>
  <c r="Q23"/>
  <c r="Q35"/>
  <c r="Q26"/>
  <c r="Q34"/>
  <c r="Q43"/>
  <c r="P23"/>
  <c r="Q27"/>
  <c r="Q28"/>
  <c r="Q42"/>
  <c r="Q29"/>
  <c r="Q37"/>
  <c r="Q30"/>
  <c r="Q31"/>
  <c r="Q32"/>
  <c r="Q33"/>
  <c r="BB76" i="2"/>
  <c r="BB77" s="1"/>
  <c r="BF28"/>
  <c r="BE28"/>
  <c r="E84"/>
  <c r="Q39" i="1" l="1"/>
  <c r="K48"/>
  <c r="P39"/>
  <c r="M39"/>
  <c r="N39" s="1"/>
  <c r="K46"/>
  <c r="BB84" i="2"/>
  <c r="BB85" s="1"/>
  <c r="M46" i="1" l="1"/>
  <c r="N46" s="1"/>
  <c r="Q46"/>
  <c r="P46"/>
  <c r="K50"/>
</calcChain>
</file>

<file path=xl/comments1.xml><?xml version="1.0" encoding="utf-8"?>
<comments xmlns="http://schemas.openxmlformats.org/spreadsheetml/2006/main">
  <authors>
    <author>MBewley</author>
  </authors>
  <commentList>
    <comment ref="BA30" authorId="0">
      <text>
        <r>
          <rPr>
            <b/>
            <sz val="8"/>
            <color indexed="81"/>
            <rFont val="Tahoma"/>
            <family val="2"/>
          </rPr>
          <t>MBewley:</t>
        </r>
        <r>
          <rPr>
            <sz val="8"/>
            <color indexed="81"/>
            <rFont val="Tahoma"/>
            <family val="2"/>
          </rPr>
          <t xml:space="preserve">
See external document insurance in Budget Binder.</t>
        </r>
      </text>
    </comment>
    <comment ref="BA81" authorId="0">
      <text>
        <r>
          <rPr>
            <b/>
            <sz val="8"/>
            <color indexed="81"/>
            <rFont val="Tahoma"/>
            <family val="2"/>
          </rPr>
          <t>MBewley:</t>
        </r>
        <r>
          <rPr>
            <sz val="8"/>
            <color indexed="81"/>
            <rFont val="Tahoma"/>
            <family val="2"/>
          </rPr>
          <t xml:space="preserve">
Total $308,677, will collect ~91%.</t>
        </r>
      </text>
    </comment>
    <comment ref="AI86" authorId="0">
      <text>
        <r>
          <rPr>
            <b/>
            <sz val="8"/>
            <color indexed="81"/>
            <rFont val="Tahoma"/>
            <family val="2"/>
          </rPr>
          <t>MBewley:</t>
        </r>
        <r>
          <rPr>
            <sz val="8"/>
            <color indexed="81"/>
            <rFont val="Tahoma"/>
            <family val="2"/>
          </rPr>
          <t xml:space="preserve">
Allocation of the MSO based 5 dosc at the PBC from a total of 11 docs.</t>
        </r>
      </text>
    </comment>
    <comment ref="AJ86" authorId="0">
      <text>
        <r>
          <rPr>
            <b/>
            <sz val="8"/>
            <color indexed="81"/>
            <rFont val="Tahoma"/>
            <family val="2"/>
          </rPr>
          <t>MBewley:</t>
        </r>
        <r>
          <rPr>
            <sz val="8"/>
            <color indexed="81"/>
            <rFont val="Tahoma"/>
            <family val="2"/>
          </rPr>
          <t xml:space="preserve">
Allocation of the MSO based 6 doc at MMG from a total of 11 doc.</t>
        </r>
      </text>
    </comment>
  </commentList>
</comments>
</file>

<file path=xl/sharedStrings.xml><?xml version="1.0" encoding="utf-8"?>
<sst xmlns="http://schemas.openxmlformats.org/spreadsheetml/2006/main" count="280" uniqueCount="175">
  <si>
    <t>PROJECTED</t>
  </si>
  <si>
    <t>ESTIMATED</t>
  </si>
  <si>
    <t>Change from FY 2008</t>
  </si>
  <si>
    <t>AUDITED</t>
  </si>
  <si>
    <t>ACTUAL</t>
  </si>
  <si>
    <t>As of April 2008</t>
  </si>
  <si>
    <t>BUDGET</t>
  </si>
  <si>
    <t>Dollar</t>
  </si>
  <si>
    <t>Percent</t>
  </si>
  <si>
    <t>Percent of</t>
  </si>
  <si>
    <t xml:space="preserve">Percent of </t>
  </si>
  <si>
    <t>JUNE 30, 2006</t>
  </si>
  <si>
    <t>JUNE 30, 2007</t>
  </si>
  <si>
    <t>APRIL 30, 2008</t>
  </si>
  <si>
    <t>JUNE 30, 2008</t>
  </si>
  <si>
    <t>Change</t>
  </si>
  <si>
    <t>Gross Revenue</t>
  </si>
  <si>
    <t>Net revenue</t>
  </si>
  <si>
    <t>Expenses</t>
  </si>
  <si>
    <t>GROSS OPERATING REVENUE</t>
  </si>
  <si>
    <t>ROOM &amp; BOARD - ACUTE</t>
  </si>
  <si>
    <t>ROOM &amp; BOARD - ICF</t>
  </si>
  <si>
    <t>ANCILLARY - INPATIENT</t>
  </si>
  <si>
    <t>ANCILLARY - OUTPATIENT</t>
  </si>
  <si>
    <t>OTHER OPERATING REVENUE</t>
  </si>
  <si>
    <t>TOTAL GROSS OPERATING REVENUE</t>
  </si>
  <si>
    <t>REVENUE DEDUCTIONS</t>
  </si>
  <si>
    <t>CONTRACTUAL ADJUSTMENTS</t>
  </si>
  <si>
    <t>BAD DEBTS</t>
  </si>
  <si>
    <t>CHARITY CARE</t>
  </si>
  <si>
    <t>TOTAL REVENUE DEDUCTIONS</t>
  </si>
  <si>
    <t>NET OPERATING REVENUE</t>
  </si>
  <si>
    <t>OPERATING EXPENSES</t>
  </si>
  <si>
    <t>PAYROLL</t>
  </si>
  <si>
    <t>EMPLOYEE BENEFITS</t>
  </si>
  <si>
    <t>PROFESSIONAL FEES</t>
  </si>
  <si>
    <t>SUPPLIES</t>
  </si>
  <si>
    <t>UTILITIES</t>
  </si>
  <si>
    <t>PURCHASED SERVICES</t>
  </si>
  <si>
    <t>INSURANCE</t>
  </si>
  <si>
    <t>DEPRECIATION</t>
  </si>
  <si>
    <t>INTEREST</t>
  </si>
  <si>
    <t>OTHER EXPENSE</t>
  </si>
  <si>
    <t>TOTAL OPERATING EXPENSES</t>
  </si>
  <si>
    <t>INCOME/(LOSS) FROM OPERATIONS</t>
  </si>
  <si>
    <t>NON-OPERATING INCOME</t>
  </si>
  <si>
    <t>TAX REVENUES - DEBT RETIREMENT</t>
  </si>
  <si>
    <t>TAX REVENUES - OPERATIONS</t>
  </si>
  <si>
    <t>INTEREST INCOME</t>
  </si>
  <si>
    <t>NET INCOME / (LOSS)</t>
  </si>
  <si>
    <t>Income from Operations</t>
  </si>
  <si>
    <t>Net Income</t>
  </si>
  <si>
    <t>CCU</t>
  </si>
  <si>
    <t>MED/SURG</t>
  </si>
  <si>
    <t>OB</t>
  </si>
  <si>
    <t>NURSERY</t>
  </si>
  <si>
    <t>HOSPICE</t>
  </si>
  <si>
    <t>SWING</t>
  </si>
  <si>
    <t>NA</t>
  </si>
  <si>
    <t>OR</t>
  </si>
  <si>
    <t>ANESTHESIA</t>
  </si>
  <si>
    <t>LAB</t>
  </si>
  <si>
    <t>EKG</t>
  </si>
  <si>
    <t>IMAGING</t>
  </si>
  <si>
    <t>PHARMACY</t>
  </si>
  <si>
    <t>OT</t>
  </si>
  <si>
    <t>RT</t>
  </si>
  <si>
    <t>ST</t>
  </si>
  <si>
    <t>PT</t>
  </si>
  <si>
    <t>ER DOCS</t>
  </si>
  <si>
    <t>ER</t>
  </si>
  <si>
    <t>CEH</t>
  </si>
  <si>
    <t>OH</t>
  </si>
  <si>
    <t>HH</t>
  </si>
  <si>
    <t>LC</t>
  </si>
  <si>
    <t>INTERPRETER</t>
  </si>
  <si>
    <t>QM</t>
  </si>
  <si>
    <t>HEALTHSYNC</t>
  </si>
  <si>
    <t>MSO Admin</t>
  </si>
  <si>
    <t>AUXILIARY BUILDING</t>
  </si>
  <si>
    <t>MMG BUILDING</t>
  </si>
  <si>
    <t>MVPC BUILDING</t>
  </si>
  <si>
    <t>MSO</t>
  </si>
  <si>
    <t>MSA</t>
  </si>
  <si>
    <t xml:space="preserve"> MMG</t>
  </si>
  <si>
    <t>NS</t>
  </si>
  <si>
    <t>CHIP</t>
  </si>
  <si>
    <t>LAUDRY &amp; LINEN</t>
  </si>
  <si>
    <t>ES</t>
  </si>
  <si>
    <t>IS</t>
  </si>
  <si>
    <t>FACILITIES MAINTENANCE</t>
  </si>
  <si>
    <t>PURCHASING</t>
  </si>
  <si>
    <t>ADMIN</t>
  </si>
  <si>
    <t>FINANCE</t>
  </si>
  <si>
    <t>ADMITTING</t>
  </si>
  <si>
    <t>TALENT</t>
  </si>
  <si>
    <t>MKGT</t>
  </si>
  <si>
    <t>HIM</t>
  </si>
  <si>
    <t>EMPLOYEE WELLNESS</t>
  </si>
  <si>
    <t>FOUNDATION</t>
  </si>
  <si>
    <t>NON-OPS</t>
  </si>
  <si>
    <t>TOTAL</t>
  </si>
  <si>
    <t>STATS</t>
  </si>
  <si>
    <t>SERVICE UNITS</t>
  </si>
  <si>
    <t>PRODUCTIVE HOURS</t>
  </si>
  <si>
    <t>NON-PRODUCTIVE HOURS</t>
  </si>
  <si>
    <t>REVENUE</t>
  </si>
  <si>
    <t>GROSS PATIENT  REVENUE</t>
  </si>
  <si>
    <t>TOTAL OPERATING REVENUE</t>
  </si>
  <si>
    <t>DEDUCTIONS FROM REVENUE</t>
  </si>
  <si>
    <t>TOTAL DEDUCTIONS FROM REVENUE</t>
  </si>
  <si>
    <t>NET PATIENT REVENUE</t>
  </si>
  <si>
    <t>EXPENSES</t>
  </si>
  <si>
    <t>INCOME STATEMENT</t>
  </si>
  <si>
    <t>INFLATION MATRIX</t>
  </si>
  <si>
    <t>01</t>
  </si>
  <si>
    <t>SALARIES</t>
  </si>
  <si>
    <t>BENEFITS</t>
  </si>
  <si>
    <t>OTHER</t>
  </si>
  <si>
    <t>PHYSICIAN FEES</t>
  </si>
  <si>
    <t>CONSULTING</t>
  </si>
  <si>
    <t>LEGAL</t>
  </si>
  <si>
    <t>AUDIT</t>
  </si>
  <si>
    <t>MEDICAL SUPPLIES</t>
  </si>
  <si>
    <t>MEDICAL</t>
  </si>
  <si>
    <t>MEDICAL GASES</t>
  </si>
  <si>
    <t>PHARMACEUTICALS</t>
  </si>
  <si>
    <t>I. V. SOLUTIONS</t>
  </si>
  <si>
    <t>RADIOLOGY FILM</t>
  </si>
  <si>
    <t>OTHER MEDICAL SUPPLIES</t>
  </si>
  <si>
    <t xml:space="preserve">FOOD </t>
  </si>
  <si>
    <t>FOOD</t>
  </si>
  <si>
    <t>LAUNDRY and LINEN</t>
  </si>
  <si>
    <t>CLEANING SUPPLIES</t>
  </si>
  <si>
    <t>OFFICE SUPPLIES</t>
  </si>
  <si>
    <t>EMPLOYEE WEARING APPAREL</t>
  </si>
  <si>
    <t>MINOR MEDICAL EQUIPMENT</t>
  </si>
  <si>
    <t>OTHER MINOR EQUIPMENT</t>
  </si>
  <si>
    <t>OTHER NON-MED SUPPLIES</t>
  </si>
  <si>
    <t>ELECTRICITY</t>
  </si>
  <si>
    <t>NATURAL GAS</t>
  </si>
  <si>
    <t>FUEL FOR VEHICLES, ETC.</t>
  </si>
  <si>
    <t>WATER</t>
  </si>
  <si>
    <t>DISPOSAL SERVICE</t>
  </si>
  <si>
    <t>TELEPHONE</t>
  </si>
  <si>
    <t>TRAVEL &amp; LODGING FOR AGENCY</t>
  </si>
  <si>
    <t>AGENCY</t>
  </si>
  <si>
    <t>REPAIRS AND MAINTENANCE</t>
  </si>
  <si>
    <t>REPAIRS &amp; MAINTENANCE</t>
  </si>
  <si>
    <t>AGENCY/CONTRACT LABOR</t>
  </si>
  <si>
    <t>MANAGEMENT SERVICES</t>
  </si>
  <si>
    <t>PURCHASED SERVICES - DEPT 65</t>
  </si>
  <si>
    <t>RENTAL AND LEASE COSTS</t>
  </si>
  <si>
    <t>CABLE TELEVISION</t>
  </si>
  <si>
    <t>OTHER DIRECT EXPENSES</t>
  </si>
  <si>
    <t>MILEAGE REIMBURSEMENT</t>
  </si>
  <si>
    <t>LICENSES AND TAXES</t>
  </si>
  <si>
    <t>DUES AND SUBSCRIPTIONS</t>
  </si>
  <si>
    <t>OTHER EXPENSES</t>
  </si>
  <si>
    <t>EDUCATION &amp; TRAINING</t>
  </si>
  <si>
    <t>N2K fees</t>
  </si>
  <si>
    <t>MEALS, LODGING, &amp; TRAVEL FOR #86</t>
  </si>
  <si>
    <t>POSTAGE AND FREIGHT</t>
  </si>
  <si>
    <t>CAREGIVER APPRECIATION</t>
  </si>
  <si>
    <t>TOTAL EXPENSES</t>
  </si>
  <si>
    <t>TOTAL FOUNDATION</t>
  </si>
  <si>
    <t>NET INCOME</t>
  </si>
  <si>
    <t>Allocated DFR</t>
  </si>
  <si>
    <t>Why in Other?</t>
  </si>
  <si>
    <t>Need detail of Other Rev - $42,500</t>
  </si>
  <si>
    <t>Need to calc Int Income in more detail</t>
  </si>
  <si>
    <t>Net with related DFR</t>
  </si>
  <si>
    <t>Develop overall inflation impact - wages and all other - Exhibit</t>
  </si>
  <si>
    <t>Impact of Move to 1/2 year</t>
  </si>
  <si>
    <t>BUS OFF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</si>
</sst>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2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u/>
      <sz val="10"/>
      <name val="Times New Roman"/>
      <family val="1"/>
    </font>
    <font>
      <sz val="8"/>
      <name val="Times New Roman"/>
      <family val="1"/>
    </font>
    <font>
      <sz val="10"/>
      <color indexed="9"/>
      <name val="Times New Roman"/>
      <family val="1"/>
    </font>
    <font>
      <b/>
      <sz val="10"/>
      <color indexed="12"/>
      <name val="Times New Roman"/>
      <family val="1"/>
    </font>
    <font>
      <sz val="10"/>
      <name val="Garamond"/>
      <family val="1"/>
    </font>
    <font>
      <sz val="10"/>
      <color indexed="17"/>
      <name val="Times New Roman"/>
      <family val="1"/>
    </font>
    <font>
      <sz val="10"/>
      <color indexed="10"/>
      <name val="Times New Roman"/>
      <family val="1"/>
    </font>
    <font>
      <b/>
      <sz val="10"/>
      <color indexed="17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21"/>
      <name val="Times New Roman"/>
      <family val="1"/>
    </font>
    <font>
      <b/>
      <sz val="10"/>
      <color indexed="20"/>
      <name val="Times New Roman"/>
      <family val="1"/>
    </font>
    <font>
      <b/>
      <sz val="10"/>
      <color indexed="19"/>
      <name val="Times New Roman"/>
      <family val="1"/>
    </font>
    <font>
      <b/>
      <sz val="10"/>
      <color indexed="56"/>
      <name val="Times New Roman"/>
      <family val="1"/>
    </font>
    <font>
      <b/>
      <sz val="10"/>
      <color indexed="45"/>
      <name val="Times New Roman"/>
      <family val="1"/>
    </font>
    <font>
      <b/>
      <sz val="10"/>
      <color indexed="16"/>
      <name val="Times New Roman"/>
      <family val="1"/>
    </font>
    <font>
      <b/>
      <sz val="10"/>
      <color indexed="49"/>
      <name val="Times New Roman"/>
      <family val="1"/>
    </font>
    <font>
      <b/>
      <sz val="10"/>
      <color indexed="53"/>
      <name val="Times New Roman"/>
      <family val="1"/>
    </font>
    <font>
      <sz val="10"/>
      <color indexed="12"/>
      <name val="Times New Roman"/>
      <family val="1"/>
    </font>
    <font>
      <b/>
      <sz val="10"/>
      <color indexed="4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5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5" fontId="3" fillId="0" borderId="1" xfId="0" quotePrefix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164" fontId="2" fillId="0" borderId="0" xfId="1" applyNumberFormat="1" applyFont="1"/>
    <xf numFmtId="164" fontId="2" fillId="0" borderId="0" xfId="1" applyNumberFormat="1" applyFont="1" applyBorder="1"/>
    <xf numFmtId="165" fontId="2" fillId="0" borderId="0" xfId="2" applyNumberFormat="1" applyFont="1"/>
    <xf numFmtId="165" fontId="2" fillId="0" borderId="0" xfId="2" applyNumberFormat="1" applyFont="1" applyBorder="1"/>
    <xf numFmtId="165" fontId="2" fillId="0" borderId="0" xfId="2" applyNumberFormat="1" applyFont="1" applyFill="1"/>
    <xf numFmtId="44" fontId="2" fillId="0" borderId="0" xfId="2" applyNumberFormat="1" applyFont="1" applyFill="1"/>
    <xf numFmtId="164" fontId="2" fillId="0" borderId="0" xfId="0" applyNumberFormat="1" applyFont="1"/>
    <xf numFmtId="166" fontId="2" fillId="0" borderId="0" xfId="3" applyNumberFormat="1" applyFont="1" applyAlignment="1">
      <alignment horizontal="center"/>
    </xf>
    <xf numFmtId="9" fontId="2" fillId="0" borderId="0" xfId="3" applyFont="1" applyAlignment="1">
      <alignment horizontal="center"/>
    </xf>
    <xf numFmtId="37" fontId="2" fillId="0" borderId="0" xfId="0" applyNumberFormat="1" applyFont="1"/>
    <xf numFmtId="37" fontId="2" fillId="0" borderId="0" xfId="0" applyNumberFormat="1" applyFont="1" applyBorder="1"/>
    <xf numFmtId="165" fontId="2" fillId="0" borderId="0" xfId="0" applyNumberFormat="1" applyFont="1"/>
    <xf numFmtId="44" fontId="2" fillId="0" borderId="0" xfId="0" applyNumberFormat="1" applyFont="1"/>
    <xf numFmtId="165" fontId="2" fillId="0" borderId="0" xfId="0" applyNumberFormat="1" applyFont="1" applyFill="1"/>
    <xf numFmtId="44" fontId="2" fillId="0" borderId="0" xfId="0" applyNumberFormat="1" applyFont="1" applyFill="1"/>
    <xf numFmtId="165" fontId="2" fillId="0" borderId="0" xfId="0" quotePrefix="1" applyNumberFormat="1" applyFont="1"/>
    <xf numFmtId="44" fontId="2" fillId="0" borderId="0" xfId="0" quotePrefix="1" applyNumberFormat="1" applyFont="1"/>
    <xf numFmtId="37" fontId="2" fillId="0" borderId="2" xfId="0" applyNumberFormat="1" applyFont="1" applyBorder="1"/>
    <xf numFmtId="165" fontId="2" fillId="0" borderId="2" xfId="1" applyNumberFormat="1" applyFont="1" applyBorder="1"/>
    <xf numFmtId="44" fontId="2" fillId="0" borderId="0" xfId="1" applyNumberFormat="1" applyFont="1" applyBorder="1"/>
    <xf numFmtId="165" fontId="2" fillId="0" borderId="2" xfId="2" applyNumberFormat="1" applyFont="1" applyFill="1" applyBorder="1"/>
    <xf numFmtId="164" fontId="2" fillId="0" borderId="2" xfId="1" applyNumberFormat="1" applyFont="1" applyBorder="1"/>
    <xf numFmtId="164" fontId="2" fillId="0" borderId="2" xfId="0" applyNumberFormat="1" applyFont="1" applyBorder="1"/>
    <xf numFmtId="166" fontId="2" fillId="0" borderId="2" xfId="3" applyNumberFormat="1" applyFont="1" applyBorder="1" applyAlignment="1">
      <alignment horizontal="center"/>
    </xf>
    <xf numFmtId="9" fontId="2" fillId="0" borderId="2" xfId="3" applyFont="1" applyBorder="1" applyAlignment="1">
      <alignment horizontal="center"/>
    </xf>
    <xf numFmtId="44" fontId="2" fillId="0" borderId="0" xfId="1" applyNumberFormat="1" applyFont="1"/>
    <xf numFmtId="43" fontId="2" fillId="0" borderId="0" xfId="0" applyNumberFormat="1" applyFont="1"/>
    <xf numFmtId="166" fontId="3" fillId="0" borderId="0" xfId="3" applyNumberFormat="1" applyFont="1" applyAlignment="1">
      <alignment horizontal="center"/>
    </xf>
    <xf numFmtId="43" fontId="2" fillId="0" borderId="0" xfId="1" applyNumberFormat="1" applyFont="1"/>
    <xf numFmtId="43" fontId="2" fillId="0" borderId="0" xfId="1" applyNumberFormat="1" applyFont="1" applyBorder="1"/>
    <xf numFmtId="165" fontId="2" fillId="0" borderId="0" xfId="0" applyNumberFormat="1" applyFont="1" applyFill="1" applyBorder="1"/>
    <xf numFmtId="165" fontId="2" fillId="0" borderId="0" xfId="2" applyNumberFormat="1" applyFont="1" applyFill="1" applyBorder="1"/>
    <xf numFmtId="0" fontId="3" fillId="0" borderId="0" xfId="0" applyFont="1"/>
    <xf numFmtId="10" fontId="2" fillId="0" borderId="0" xfId="3" applyNumberFormat="1" applyFont="1" applyAlignment="1">
      <alignment horizontal="center"/>
    </xf>
    <xf numFmtId="165" fontId="2" fillId="0" borderId="2" xfId="0" applyNumberFormat="1" applyFont="1" applyFill="1" applyBorder="1"/>
    <xf numFmtId="10" fontId="2" fillId="0" borderId="2" xfId="3" applyNumberFormat="1" applyFont="1" applyBorder="1" applyAlignment="1">
      <alignment horizontal="center"/>
    </xf>
    <xf numFmtId="9" fontId="2" fillId="0" borderId="0" xfId="3" applyFont="1"/>
    <xf numFmtId="9" fontId="2" fillId="0" borderId="0" xfId="3" applyFont="1" applyBorder="1"/>
    <xf numFmtId="44" fontId="7" fillId="0" borderId="0" xfId="3" applyNumberFormat="1" applyFont="1"/>
    <xf numFmtId="9" fontId="7" fillId="0" borderId="0" xfId="3" applyFont="1" applyBorder="1"/>
    <xf numFmtId="44" fontId="2" fillId="0" borderId="0" xfId="2" applyNumberFormat="1" applyFont="1"/>
    <xf numFmtId="164" fontId="2" fillId="0" borderId="0" xfId="0" applyNumberFormat="1" applyFont="1" applyBorder="1"/>
    <xf numFmtId="166" fontId="2" fillId="0" borderId="0" xfId="3" applyNumberFormat="1" applyFont="1" applyBorder="1" applyAlignment="1">
      <alignment horizontal="center"/>
    </xf>
    <xf numFmtId="0" fontId="2" fillId="0" borderId="0" xfId="0" applyFont="1" applyBorder="1"/>
    <xf numFmtId="10" fontId="2" fillId="0" borderId="0" xfId="3" applyNumberFormat="1" applyFont="1"/>
    <xf numFmtId="9" fontId="2" fillId="0" borderId="0" xfId="3" applyFont="1" applyBorder="1" applyAlignment="1">
      <alignment horizontal="center"/>
    </xf>
    <xf numFmtId="9" fontId="8" fillId="0" borderId="0" xfId="3" applyFont="1"/>
    <xf numFmtId="164" fontId="8" fillId="0" borderId="0" xfId="1" applyNumberFormat="1" applyFont="1" applyBorder="1"/>
    <xf numFmtId="44" fontId="8" fillId="0" borderId="0" xfId="1" applyNumberFormat="1" applyFont="1"/>
    <xf numFmtId="0" fontId="8" fillId="0" borderId="0" xfId="0" applyFont="1"/>
    <xf numFmtId="166" fontId="8" fillId="0" borderId="0" xfId="3" applyNumberFormat="1" applyFont="1" applyAlignment="1">
      <alignment horizontal="center"/>
    </xf>
    <xf numFmtId="9" fontId="8" fillId="0" borderId="0" xfId="3" applyFont="1" applyAlignment="1">
      <alignment horizontal="center"/>
    </xf>
    <xf numFmtId="9" fontId="8" fillId="0" borderId="0" xfId="3" applyFont="1" applyBorder="1" applyAlignment="1">
      <alignment horizontal="center"/>
    </xf>
    <xf numFmtId="165" fontId="3" fillId="0" borderId="0" xfId="2" applyNumberFormat="1" applyFont="1"/>
    <xf numFmtId="165" fontId="3" fillId="0" borderId="0" xfId="2" applyNumberFormat="1" applyFont="1" applyBorder="1"/>
    <xf numFmtId="44" fontId="3" fillId="0" borderId="0" xfId="2" applyNumberFormat="1" applyFont="1"/>
    <xf numFmtId="164" fontId="3" fillId="0" borderId="0" xfId="0" applyNumberFormat="1" applyFont="1"/>
    <xf numFmtId="9" fontId="3" fillId="0" borderId="0" xfId="3" applyFont="1" applyAlignment="1">
      <alignment horizontal="center"/>
    </xf>
    <xf numFmtId="9" fontId="3" fillId="0" borderId="0" xfId="3" applyFont="1" applyBorder="1" applyAlignment="1">
      <alignment horizontal="center"/>
    </xf>
    <xf numFmtId="165" fontId="3" fillId="0" borderId="3" xfId="2" applyNumberFormat="1" applyFont="1" applyBorder="1"/>
    <xf numFmtId="164" fontId="3" fillId="0" borderId="3" xfId="0" applyNumberFormat="1" applyFont="1" applyBorder="1"/>
    <xf numFmtId="166" fontId="3" fillId="0" borderId="3" xfId="3" applyNumberFormat="1" applyFont="1" applyBorder="1" applyAlignment="1">
      <alignment horizontal="center"/>
    </xf>
    <xf numFmtId="9" fontId="3" fillId="0" borderId="3" xfId="3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0" fontId="2" fillId="0" borderId="0" xfId="3" applyNumberFormat="1" applyFont="1" applyBorder="1"/>
    <xf numFmtId="0" fontId="3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3" fontId="3" fillId="0" borderId="0" xfId="1" applyFont="1" applyAlignment="1">
      <alignment horizontal="center"/>
    </xf>
    <xf numFmtId="0" fontId="10" fillId="0" borderId="0" xfId="0" applyFont="1"/>
    <xf numFmtId="0" fontId="2" fillId="0" borderId="0" xfId="0" applyFont="1" applyFill="1"/>
    <xf numFmtId="0" fontId="2" fillId="2" borderId="0" xfId="0" applyFont="1" applyFill="1"/>
    <xf numFmtId="43" fontId="2" fillId="0" borderId="0" xfId="1" applyFont="1"/>
    <xf numFmtId="3" fontId="10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Fill="1"/>
    <xf numFmtId="39" fontId="2" fillId="0" borderId="0" xfId="0" applyNumberFormat="1" applyFont="1"/>
    <xf numFmtId="39" fontId="2" fillId="0" borderId="0" xfId="0" applyNumberFormat="1" applyFont="1" applyFill="1"/>
    <xf numFmtId="43" fontId="2" fillId="3" borderId="0" xfId="1" applyFont="1" applyFill="1"/>
    <xf numFmtId="43" fontId="2" fillId="0" borderId="0" xfId="1" applyFont="1" applyBorder="1"/>
    <xf numFmtId="43" fontId="2" fillId="0" borderId="0" xfId="1" applyFont="1" applyFill="1"/>
    <xf numFmtId="43" fontId="3" fillId="0" borderId="0" xfId="1" applyFont="1"/>
    <xf numFmtId="164" fontId="15" fillId="0" borderId="0" xfId="0" applyNumberFormat="1" applyFont="1"/>
    <xf numFmtId="1" fontId="2" fillId="0" borderId="0" xfId="0" quotePrefix="1" applyNumberFormat="1" applyFont="1" applyAlignment="1">
      <alignment horizontal="right"/>
    </xf>
    <xf numFmtId="0" fontId="2" fillId="4" borderId="0" xfId="0" applyFont="1" applyFill="1"/>
    <xf numFmtId="43" fontId="2" fillId="4" borderId="0" xfId="1" applyFont="1" applyFill="1"/>
    <xf numFmtId="0" fontId="3" fillId="0" borderId="0" xfId="0" quotePrefix="1" applyFont="1"/>
    <xf numFmtId="164" fontId="2" fillId="0" borderId="0" xfId="0" applyNumberFormat="1" applyFont="1" applyFill="1"/>
    <xf numFmtId="164" fontId="2" fillId="2" borderId="0" xfId="0" applyNumberFormat="1" applyFont="1" applyFill="1"/>
    <xf numFmtId="164" fontId="11" fillId="0" borderId="0" xfId="1" applyNumberFormat="1" applyFont="1"/>
    <xf numFmtId="164" fontId="2" fillId="0" borderId="0" xfId="1" applyNumberFormat="1" applyFont="1" applyFill="1"/>
    <xf numFmtId="164" fontId="2" fillId="2" borderId="0" xfId="1" applyNumberFormat="1" applyFont="1" applyFill="1"/>
    <xf numFmtId="164" fontId="12" fillId="0" borderId="0" xfId="1" applyNumberFormat="1" applyFont="1"/>
    <xf numFmtId="164" fontId="3" fillId="0" borderId="0" xfId="1" applyNumberFormat="1" applyFont="1"/>
    <xf numFmtId="164" fontId="3" fillId="0" borderId="0" xfId="1" applyNumberFormat="1" applyFont="1" applyFill="1"/>
    <xf numFmtId="164" fontId="13" fillId="0" borderId="0" xfId="1" applyNumberFormat="1" applyFont="1"/>
    <xf numFmtId="164" fontId="14" fillId="0" borderId="0" xfId="2" applyNumberFormat="1" applyFont="1"/>
    <xf numFmtId="164" fontId="3" fillId="2" borderId="0" xfId="1" applyNumberFormat="1" applyFont="1" applyFill="1"/>
    <xf numFmtId="164" fontId="3" fillId="0" borderId="0" xfId="2" applyNumberFormat="1" applyFont="1"/>
    <xf numFmtId="164" fontId="2" fillId="0" borderId="0" xfId="2" applyNumberFormat="1" applyFont="1"/>
    <xf numFmtId="164" fontId="16" fillId="0" borderId="0" xfId="0" applyNumberFormat="1" applyFont="1"/>
    <xf numFmtId="164" fontId="17" fillId="0" borderId="0" xfId="0" applyNumberFormat="1" applyFont="1"/>
    <xf numFmtId="164" fontId="18" fillId="0" borderId="0" xfId="0" applyNumberFormat="1" applyFont="1"/>
    <xf numFmtId="164" fontId="2" fillId="4" borderId="0" xfId="1" applyNumberFormat="1" applyFont="1" applyFill="1"/>
    <xf numFmtId="164" fontId="17" fillId="4" borderId="0" xfId="0" applyNumberFormat="1" applyFont="1" applyFill="1"/>
    <xf numFmtId="164" fontId="2" fillId="4" borderId="0" xfId="0" applyNumberFormat="1" applyFont="1" applyFill="1"/>
    <xf numFmtId="164" fontId="3" fillId="4" borderId="0" xfId="3" applyNumberFormat="1" applyFont="1" applyFill="1"/>
    <xf numFmtId="164" fontId="19" fillId="0" borderId="0" xfId="0" applyNumberFormat="1" applyFont="1" applyFill="1"/>
    <xf numFmtId="164" fontId="17" fillId="0" borderId="0" xfId="0" applyNumberFormat="1" applyFont="1" applyFill="1" applyAlignment="1">
      <alignment horizontal="left"/>
    </xf>
    <xf numFmtId="164" fontId="3" fillId="0" borderId="0" xfId="0" applyNumberFormat="1" applyFont="1" applyFill="1"/>
    <xf numFmtId="164" fontId="20" fillId="0" borderId="0" xfId="0" applyNumberFormat="1" applyFont="1"/>
    <xf numFmtId="164" fontId="2" fillId="5" borderId="0" xfId="1" applyNumberFormat="1" applyFont="1" applyFill="1"/>
    <xf numFmtId="164" fontId="21" fillId="0" borderId="0" xfId="0" applyNumberFormat="1" applyFont="1"/>
    <xf numFmtId="164" fontId="3" fillId="5" borderId="0" xfId="1" applyNumberFormat="1" applyFont="1" applyFill="1"/>
    <xf numFmtId="164" fontId="22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164" fontId="12" fillId="0" borderId="0" xfId="1" applyNumberFormat="1" applyFont="1" applyFill="1"/>
    <xf numFmtId="164" fontId="9" fillId="0" borderId="0" xfId="0" applyNumberFormat="1" applyFont="1"/>
    <xf numFmtId="164" fontId="16" fillId="0" borderId="0" xfId="0" applyNumberFormat="1" applyFont="1" applyFill="1"/>
    <xf numFmtId="164" fontId="25" fillId="0" borderId="0" xfId="0" applyNumberFormat="1" applyFont="1" applyAlignment="1">
      <alignment horizontal="right"/>
    </xf>
    <xf numFmtId="164" fontId="25" fillId="0" borderId="0" xfId="0" applyNumberFormat="1" applyFont="1"/>
    <xf numFmtId="164" fontId="16" fillId="0" borderId="0" xfId="0" applyNumberFormat="1" applyFont="1" applyFill="1" applyAlignment="1">
      <alignment horizontal="center"/>
    </xf>
    <xf numFmtId="164" fontId="26" fillId="0" borderId="3" xfId="0" applyNumberFormat="1" applyFont="1" applyBorder="1"/>
    <xf numFmtId="164" fontId="25" fillId="0" borderId="4" xfId="0" applyNumberFormat="1" applyFont="1" applyBorder="1"/>
    <xf numFmtId="164" fontId="25" fillId="0" borderId="0" xfId="3" applyNumberFormat="1" applyFont="1" applyAlignment="1">
      <alignment horizontal="center"/>
    </xf>
    <xf numFmtId="164" fontId="9" fillId="0" borderId="0" xfId="0" applyNumberFormat="1" applyFont="1" applyAlignment="1">
      <alignment horizontal="right"/>
    </xf>
    <xf numFmtId="164" fontId="9" fillId="0" borderId="3" xfId="0" applyNumberFormat="1" applyFont="1" applyBorder="1"/>
    <xf numFmtId="0" fontId="4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customXml" Target="../customXml/item3.xml"/><Relationship Id="rId8" Type="http://schemas.openxmlformats.org/officeDocument/2006/relationships/externalLink" Target="externalLinks/externalLink6.xml"/><Relationship Id="rId51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Copy%20of%20Budget%20Worksheet%20May%206,%202008%20-%20Approv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10%20-%20IC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12%20-%20M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14%20-%20O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19%20-%20HOS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28%20-%20NSG%20AD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32%20-%20O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34%20-%20AN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38%20-%20LA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40%20-%20EK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42%20-%20Imag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44%20-%20PHAR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45%20-%20O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46%20-%20R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47%20-%20S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48%20-%20P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49%20-%20ER%20D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50%20-%20E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52%20-%20COMM%20HLT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53%20-%20B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56%20-%20H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58%20-%20LIVING%20CENTE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60%20-%20INTE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62%20-%20Q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71%20-%20MSO%20ADmi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72%20-%20AUX%20BLD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74%20-%20MMG%20BLD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76%20-%20MSA%20BLD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77%20-%20MS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78%20-%20MS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79%20-%20MMG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80%20-%20N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82%20-%20LAUN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83%20-%20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84%20-%20I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86%20-%20Facility%20Service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87%20-%20PURCH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88%20-%20ADMI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89%20-%20FISC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90%20-%20ADMTG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91%20-%20PAT%20ACCTG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92%20-%20TALEN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93%20-%20MARK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94%20-%20HIM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95%20-%20WEL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81%20-%20CHIP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%20Annual%20Budgets\2008-09%20MVHD%20Budget\Budget\Department%20Budgets\696%20-%20Foundati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melines"/>
      <sheetName val="Capital"/>
      <sheetName val="Matrix"/>
      <sheetName val="Income Statement - Summary"/>
      <sheetName val="IS - Summary "/>
      <sheetName val="Department Detail"/>
      <sheetName val="Benefits"/>
      <sheetName val="HealthSync Training"/>
      <sheetName val="Inflation Matrix"/>
      <sheetName val="Wage Adjustments"/>
      <sheetName val="Revenue"/>
      <sheetName val="PBC Revenue"/>
      <sheetName val="Other Revenue"/>
      <sheetName val="Revenue Split"/>
      <sheetName val="Hrs per Stats 2007 "/>
      <sheetName val="Revenue - Stats 2008"/>
      <sheetName val="Revenue - Stats 2007"/>
      <sheetName val="DFR"/>
      <sheetName val="April 7 - Vol Stats"/>
      <sheetName val="Fixed Assets Detail (2)"/>
      <sheetName val="Debt Repayment Schedule - Int."/>
    </sheetNames>
    <sheetDataSet>
      <sheetData sheetId="0"/>
      <sheetData sheetId="1"/>
      <sheetData sheetId="2"/>
      <sheetData sheetId="3">
        <row r="8">
          <cell r="K8">
            <v>7452714.2293239525</v>
          </cell>
        </row>
        <row r="9">
          <cell r="K9">
            <v>805721.72762133693</v>
          </cell>
        </row>
        <row r="10">
          <cell r="K10">
            <v>8619193.0419825166</v>
          </cell>
        </row>
        <row r="11">
          <cell r="K11">
            <v>23081467.589199342</v>
          </cell>
        </row>
        <row r="12">
          <cell r="K12">
            <v>1345793.9101082606</v>
          </cell>
        </row>
        <row r="14">
          <cell r="K14">
            <v>41304890.498235412</v>
          </cell>
        </row>
        <row r="37">
          <cell r="K37">
            <v>25400010.359251145</v>
          </cell>
        </row>
        <row r="46">
          <cell r="K46">
            <v>1130627.1389842667</v>
          </cell>
        </row>
      </sheetData>
      <sheetData sheetId="4"/>
      <sheetData sheetId="5">
        <row r="9">
          <cell r="BB9">
            <v>7452714.2293239525</v>
          </cell>
        </row>
        <row r="10">
          <cell r="BB10">
            <v>805721.72762133693</v>
          </cell>
        </row>
        <row r="11">
          <cell r="BB11">
            <v>8619193.0419825166</v>
          </cell>
        </row>
        <row r="12">
          <cell r="BB12">
            <v>23081467.589199342</v>
          </cell>
        </row>
        <row r="13">
          <cell r="BB13">
            <v>1345793.9101082606</v>
          </cell>
        </row>
        <row r="19">
          <cell r="BB19">
            <v>11787934</v>
          </cell>
        </row>
        <row r="20">
          <cell r="BB20">
            <v>1997955</v>
          </cell>
        </row>
        <row r="21">
          <cell r="BB21">
            <v>1598364</v>
          </cell>
        </row>
        <row r="27">
          <cell r="BB27">
            <v>13636680.89952524</v>
          </cell>
        </row>
        <row r="28">
          <cell r="BB28">
            <v>3433209.2113361214</v>
          </cell>
        </row>
        <row r="29">
          <cell r="BB29">
            <v>1445086.8042968255</v>
          </cell>
        </row>
        <row r="30">
          <cell r="BB30">
            <v>278000</v>
          </cell>
        </row>
        <row r="31">
          <cell r="BB31">
            <v>0</v>
          </cell>
        </row>
        <row r="32">
          <cell r="BB32">
            <v>59000</v>
          </cell>
        </row>
        <row r="33">
          <cell r="BB33">
            <v>112200</v>
          </cell>
        </row>
        <row r="34">
          <cell r="BB34">
            <v>30000</v>
          </cell>
        </row>
        <row r="35">
          <cell r="BB35">
            <v>47500</v>
          </cell>
        </row>
        <row r="36">
          <cell r="BB36">
            <v>1262286.6476499999</v>
          </cell>
        </row>
        <row r="37">
          <cell r="BB37">
            <v>13897</v>
          </cell>
        </row>
        <row r="38">
          <cell r="BB38">
            <v>13200</v>
          </cell>
        </row>
        <row r="39">
          <cell r="BB39">
            <v>423581.7341</v>
          </cell>
        </row>
        <row r="40">
          <cell r="BB40">
            <v>6604</v>
          </cell>
        </row>
        <row r="41">
          <cell r="BB41">
            <v>190865.09299999999</v>
          </cell>
        </row>
        <row r="42">
          <cell r="BB42">
            <v>248528.7</v>
          </cell>
        </row>
        <row r="43">
          <cell r="BB43">
            <v>15328.152</v>
          </cell>
        </row>
        <row r="44">
          <cell r="BB44">
            <v>25361.25</v>
          </cell>
        </row>
        <row r="45">
          <cell r="BB45">
            <v>115536.372</v>
          </cell>
        </row>
        <row r="46">
          <cell r="BB46">
            <v>3800</v>
          </cell>
        </row>
        <row r="47">
          <cell r="BB47">
            <v>12509.112000000001</v>
          </cell>
        </row>
        <row r="48">
          <cell r="BB48">
            <v>51875.17</v>
          </cell>
        </row>
        <row r="49">
          <cell r="BB49">
            <v>144579.19222</v>
          </cell>
        </row>
        <row r="50">
          <cell r="BB50">
            <v>128367.60912000001</v>
          </cell>
        </row>
        <row r="51">
          <cell r="BB51">
            <v>112702.44960000001</v>
          </cell>
        </row>
        <row r="52">
          <cell r="BB52">
            <v>0</v>
          </cell>
        </row>
        <row r="53">
          <cell r="BB53">
            <v>24797.514999999999</v>
          </cell>
        </row>
        <row r="54">
          <cell r="BB54">
            <v>41652.488000000005</v>
          </cell>
        </row>
        <row r="55">
          <cell r="BB55">
            <v>59442.998800000001</v>
          </cell>
        </row>
        <row r="56">
          <cell r="BB56">
            <v>1115504.24</v>
          </cell>
        </row>
        <row r="57">
          <cell r="BB57">
            <v>11500</v>
          </cell>
        </row>
        <row r="58">
          <cell r="BB58">
            <v>268635.37738000002</v>
          </cell>
        </row>
        <row r="59">
          <cell r="BB59">
            <v>77243.77</v>
          </cell>
        </row>
        <row r="60">
          <cell r="BB60">
            <v>568125</v>
          </cell>
        </row>
        <row r="61">
          <cell r="BB61">
            <v>0</v>
          </cell>
        </row>
        <row r="62">
          <cell r="BB62">
            <v>59634.400999999998</v>
          </cell>
        </row>
        <row r="63">
          <cell r="BB63">
            <v>8000</v>
          </cell>
        </row>
        <row r="64">
          <cell r="BB64">
            <v>224050</v>
          </cell>
        </row>
        <row r="65">
          <cell r="BB65">
            <v>17340.719000000001</v>
          </cell>
        </row>
        <row r="66">
          <cell r="BB66">
            <v>78501.5</v>
          </cell>
        </row>
        <row r="67">
          <cell r="BB67">
            <v>96660</v>
          </cell>
        </row>
        <row r="68">
          <cell r="BB68">
            <v>182477.26</v>
          </cell>
        </row>
        <row r="69">
          <cell r="BB69">
            <v>273550</v>
          </cell>
        </row>
        <row r="70">
          <cell r="BB70">
            <v>69940</v>
          </cell>
        </row>
        <row r="71">
          <cell r="BB71">
            <v>78460.37466666667</v>
          </cell>
        </row>
        <row r="72">
          <cell r="BB72">
            <v>56875</v>
          </cell>
        </row>
        <row r="73">
          <cell r="BB73">
            <v>276920.31855629222</v>
          </cell>
        </row>
        <row r="80">
          <cell r="BB80">
            <v>130000</v>
          </cell>
        </row>
        <row r="81">
          <cell r="BB81">
            <v>280000</v>
          </cell>
        </row>
        <row r="82">
          <cell r="BB82">
            <v>200000</v>
          </cell>
        </row>
      </sheetData>
      <sheetData sheetId="6">
        <row r="18">
          <cell r="F18">
            <v>0.25176281799302413</v>
          </cell>
        </row>
        <row r="19">
          <cell r="E19">
            <v>3433209.2113361214</v>
          </cell>
        </row>
      </sheetData>
      <sheetData sheetId="7">
        <row r="39">
          <cell r="E39">
            <v>56363.029343628674</v>
          </cell>
        </row>
      </sheetData>
      <sheetData sheetId="8">
        <row r="7">
          <cell r="R7">
            <v>44020.597650000003</v>
          </cell>
        </row>
        <row r="8">
          <cell r="R8">
            <v>4800.77322</v>
          </cell>
        </row>
        <row r="10">
          <cell r="R10">
            <v>7238.7</v>
          </cell>
        </row>
        <row r="13">
          <cell r="R13">
            <v>21460.892100000001</v>
          </cell>
        </row>
        <row r="20">
          <cell r="R20">
            <v>3566.3806666666674</v>
          </cell>
        </row>
        <row r="25">
          <cell r="R25">
            <v>2584.77</v>
          </cell>
        </row>
        <row r="26">
          <cell r="R26">
            <v>7824.3313799999996</v>
          </cell>
        </row>
      </sheetData>
      <sheetData sheetId="9">
        <row r="30">
          <cell r="D30">
            <v>1072633.2111265785</v>
          </cell>
        </row>
      </sheetData>
      <sheetData sheetId="10">
        <row r="9">
          <cell r="G9">
            <v>50</v>
          </cell>
          <cell r="U9">
            <v>184400</v>
          </cell>
        </row>
        <row r="10">
          <cell r="G10">
            <v>2818.8</v>
          </cell>
          <cell r="U10">
            <v>4498847.7801850252</v>
          </cell>
        </row>
        <row r="11">
          <cell r="G11">
            <v>555</v>
          </cell>
          <cell r="U11">
            <v>1516534.075474011</v>
          </cell>
        </row>
        <row r="12">
          <cell r="G12">
            <v>449.5393474088292</v>
          </cell>
          <cell r="U12">
            <v>230263.56013043568</v>
          </cell>
        </row>
        <row r="13">
          <cell r="G13">
            <v>5500</v>
          </cell>
          <cell r="U13">
            <v>973908.76500836574</v>
          </cell>
        </row>
        <row r="14">
          <cell r="G14">
            <v>475</v>
          </cell>
          <cell r="U14">
            <v>294025</v>
          </cell>
        </row>
        <row r="15">
          <cell r="G15">
            <v>896</v>
          </cell>
          <cell r="U15">
            <v>4345137.805943355</v>
          </cell>
        </row>
        <row r="16">
          <cell r="G16">
            <v>587</v>
          </cell>
          <cell r="U16">
            <v>1144872.9796140678</v>
          </cell>
        </row>
        <row r="17">
          <cell r="G17">
            <v>64000</v>
          </cell>
          <cell r="U17">
            <v>4948287.0771789653</v>
          </cell>
        </row>
        <row r="18">
          <cell r="G18">
            <v>1710</v>
          </cell>
          <cell r="U18">
            <v>347846.04500437446</v>
          </cell>
        </row>
        <row r="19">
          <cell r="G19">
            <v>12042</v>
          </cell>
          <cell r="U19">
            <v>4469236.9372630641</v>
          </cell>
        </row>
        <row r="20">
          <cell r="G20">
            <v>3423.8</v>
          </cell>
          <cell r="U20">
            <v>2144490.5219099182</v>
          </cell>
        </row>
        <row r="21">
          <cell r="G21">
            <v>1800</v>
          </cell>
          <cell r="U21">
            <v>173169.95798319325</v>
          </cell>
        </row>
        <row r="22">
          <cell r="G22">
            <v>21050</v>
          </cell>
          <cell r="U22">
            <v>600096.47960557591</v>
          </cell>
        </row>
        <row r="23">
          <cell r="G23">
            <v>150</v>
          </cell>
          <cell r="U23">
            <v>58126.363636363632</v>
          </cell>
        </row>
        <row r="24">
          <cell r="G24">
            <v>15600</v>
          </cell>
          <cell r="U24">
            <v>1033968</v>
          </cell>
        </row>
        <row r="25">
          <cell r="G25">
            <v>11170</v>
          </cell>
          <cell r="U25">
            <v>2872182.7595492345</v>
          </cell>
        </row>
        <row r="26">
          <cell r="G26">
            <v>11170</v>
          </cell>
          <cell r="U26">
            <v>3670374.7792872908</v>
          </cell>
        </row>
        <row r="27">
          <cell r="G27">
            <v>1450</v>
          </cell>
          <cell r="U27">
            <v>501396.97273257066</v>
          </cell>
        </row>
        <row r="28">
          <cell r="G28">
            <v>3650</v>
          </cell>
          <cell r="U28">
            <v>805721.72762133693</v>
          </cell>
        </row>
        <row r="29">
          <cell r="G29">
            <v>10970</v>
          </cell>
        </row>
        <row r="30">
          <cell r="G30">
            <v>19000</v>
          </cell>
          <cell r="U30">
            <v>1173415.9101082606</v>
          </cell>
        </row>
      </sheetData>
      <sheetData sheetId="11">
        <row r="17">
          <cell r="K17">
            <v>1513564</v>
          </cell>
        </row>
      </sheetData>
      <sheetData sheetId="12">
        <row r="7">
          <cell r="F7">
            <v>87000</v>
          </cell>
        </row>
        <row r="8">
          <cell r="F8">
            <v>750</v>
          </cell>
        </row>
        <row r="9">
          <cell r="F9">
            <v>4000</v>
          </cell>
        </row>
        <row r="10">
          <cell r="F10">
            <v>14000</v>
          </cell>
        </row>
        <row r="11">
          <cell r="F11">
            <v>16000</v>
          </cell>
        </row>
        <row r="12">
          <cell r="F12">
            <v>1500</v>
          </cell>
        </row>
        <row r="13">
          <cell r="F13">
            <v>12000</v>
          </cell>
        </row>
        <row r="14">
          <cell r="F14">
            <v>6000</v>
          </cell>
        </row>
        <row r="16">
          <cell r="F16">
            <v>4000</v>
          </cell>
        </row>
        <row r="17">
          <cell r="F17">
            <v>2128</v>
          </cell>
        </row>
        <row r="19">
          <cell r="F19">
            <v>25000</v>
          </cell>
        </row>
      </sheetData>
      <sheetData sheetId="13"/>
      <sheetData sheetId="14"/>
      <sheetData sheetId="15"/>
      <sheetData sheetId="16"/>
      <sheetData sheetId="17"/>
      <sheetData sheetId="18">
        <row r="30">
          <cell r="O30">
            <v>78233.333333333328</v>
          </cell>
        </row>
        <row r="31">
          <cell r="O31">
            <v>199604</v>
          </cell>
        </row>
      </sheetData>
      <sheetData sheetId="19">
        <row r="1891">
          <cell r="R1891">
            <v>1445086.8042968255</v>
          </cell>
        </row>
      </sheetData>
      <sheetData sheetId="20">
        <row r="33">
          <cell r="F33">
            <v>276920.31855629222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Payroll Detail"/>
    </sheetNames>
    <sheetDataSet>
      <sheetData sheetId="0"/>
      <sheetData sheetId="1"/>
      <sheetData sheetId="2">
        <row r="6">
          <cell r="H6">
            <v>525</v>
          </cell>
        </row>
        <row r="7">
          <cell r="H7">
            <v>0</v>
          </cell>
        </row>
        <row r="14">
          <cell r="H14">
            <v>19427.290991574857</v>
          </cell>
        </row>
        <row r="17">
          <cell r="H17">
            <v>1486.8480000000002</v>
          </cell>
        </row>
        <row r="19">
          <cell r="H19">
            <v>500</v>
          </cell>
        </row>
        <row r="22">
          <cell r="H22">
            <v>0</v>
          </cell>
        </row>
        <row r="23">
          <cell r="H23">
            <v>0</v>
          </cell>
        </row>
        <row r="26">
          <cell r="H26">
            <v>258.54400000000004</v>
          </cell>
        </row>
        <row r="27">
          <cell r="H27">
            <v>0</v>
          </cell>
        </row>
        <row r="33">
          <cell r="H33">
            <v>26563.752517584238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Payroll Detail"/>
    </sheetNames>
    <sheetDataSet>
      <sheetData sheetId="0"/>
      <sheetData sheetId="1"/>
      <sheetData sheetId="2">
        <row r="6">
          <cell r="H6">
            <v>49546</v>
          </cell>
        </row>
        <row r="7">
          <cell r="H7">
            <v>9490</v>
          </cell>
        </row>
        <row r="16">
          <cell r="H16">
            <v>1391006.7857744372</v>
          </cell>
        </row>
        <row r="19">
          <cell r="H19">
            <v>28509</v>
          </cell>
        </row>
        <row r="20">
          <cell r="H20">
            <v>2402</v>
          </cell>
        </row>
        <row r="21">
          <cell r="H21">
            <v>46217</v>
          </cell>
        </row>
        <row r="24">
          <cell r="H24">
            <v>734</v>
          </cell>
        </row>
        <row r="25">
          <cell r="H25">
            <v>7588</v>
          </cell>
        </row>
        <row r="27">
          <cell r="H27">
            <v>410</v>
          </cell>
        </row>
        <row r="28">
          <cell r="H28">
            <v>6010</v>
          </cell>
        </row>
        <row r="30">
          <cell r="H30">
            <v>6088.4120000000003</v>
          </cell>
        </row>
        <row r="32">
          <cell r="H32">
            <v>5645.4860000000008</v>
          </cell>
        </row>
        <row r="33">
          <cell r="H33">
            <v>5000</v>
          </cell>
        </row>
        <row r="36">
          <cell r="H36">
            <v>7200</v>
          </cell>
        </row>
        <row r="39">
          <cell r="H39">
            <v>387.31000000000006</v>
          </cell>
        </row>
        <row r="40">
          <cell r="H40">
            <v>264</v>
          </cell>
        </row>
        <row r="41">
          <cell r="H41">
            <v>200</v>
          </cell>
        </row>
        <row r="43">
          <cell r="H43">
            <v>2000</v>
          </cell>
        </row>
        <row r="44">
          <cell r="H44">
            <v>15000</v>
          </cell>
        </row>
        <row r="45">
          <cell r="H45">
            <v>10000</v>
          </cell>
        </row>
        <row r="48">
          <cell r="H48">
            <v>1884865.7820084286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 "/>
      <sheetName val="Departmentals"/>
      <sheetName val="Manning Table"/>
      <sheetName val="Prod Table"/>
      <sheetName val="Payroll Detail"/>
    </sheetNames>
    <sheetDataSet>
      <sheetData sheetId="0"/>
      <sheetData sheetId="1">
        <row r="20">
          <cell r="L20">
            <v>100.69</v>
          </cell>
        </row>
      </sheetData>
      <sheetData sheetId="2">
        <row r="6">
          <cell r="H6">
            <v>13956</v>
          </cell>
        </row>
        <row r="7">
          <cell r="H7">
            <v>697.80000000000007</v>
          </cell>
        </row>
        <row r="15">
          <cell r="H15">
            <v>502620.02987192036</v>
          </cell>
        </row>
        <row r="19">
          <cell r="H19">
            <v>29514.52</v>
          </cell>
        </row>
        <row r="21">
          <cell r="H21">
            <v>18440.919999999998</v>
          </cell>
        </row>
        <row r="23">
          <cell r="H23">
            <v>328.15200000000004</v>
          </cell>
        </row>
        <row r="24">
          <cell r="H24">
            <v>96.250000000000014</v>
          </cell>
        </row>
        <row r="25">
          <cell r="H25">
            <v>2978.7560000000003</v>
          </cell>
        </row>
        <row r="26">
          <cell r="H26">
            <v>0</v>
          </cell>
        </row>
        <row r="27">
          <cell r="H27">
            <v>2114.1120000000001</v>
          </cell>
        </row>
        <row r="28">
          <cell r="H28">
            <v>3500</v>
          </cell>
        </row>
        <row r="29">
          <cell r="H29">
            <v>8491.6260000000002</v>
          </cell>
        </row>
        <row r="31">
          <cell r="H31">
            <v>936.58400000000017</v>
          </cell>
        </row>
        <row r="32">
          <cell r="H32">
            <v>9000</v>
          </cell>
        </row>
        <row r="33">
          <cell r="H33">
            <v>0</v>
          </cell>
        </row>
        <row r="34">
          <cell r="H34">
            <v>19440</v>
          </cell>
        </row>
        <row r="37">
          <cell r="H37">
            <v>0</v>
          </cell>
        </row>
        <row r="40">
          <cell r="H40">
            <v>3000</v>
          </cell>
        </row>
        <row r="41">
          <cell r="H41">
            <v>1000</v>
          </cell>
        </row>
        <row r="44">
          <cell r="H44">
            <v>728102.67497221311</v>
          </cell>
        </row>
      </sheetData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Payroll Detail"/>
    </sheetNames>
    <sheetDataSet>
      <sheetData sheetId="0"/>
      <sheetData sheetId="1"/>
      <sheetData sheetId="2">
        <row r="6">
          <cell r="H6">
            <v>9707.7999999999993</v>
          </cell>
        </row>
        <row r="7">
          <cell r="H7">
            <v>145</v>
          </cell>
        </row>
        <row r="15">
          <cell r="H15">
            <v>303444.50001838792</v>
          </cell>
        </row>
        <row r="18">
          <cell r="H18">
            <v>0</v>
          </cell>
        </row>
        <row r="19">
          <cell r="H19">
            <v>13650</v>
          </cell>
        </row>
        <row r="20">
          <cell r="H20">
            <v>1000</v>
          </cell>
        </row>
        <row r="22">
          <cell r="H22">
            <v>1000</v>
          </cell>
        </row>
        <row r="24">
          <cell r="H24">
            <v>800</v>
          </cell>
        </row>
        <row r="25">
          <cell r="H25">
            <v>800</v>
          </cell>
        </row>
        <row r="26">
          <cell r="H26">
            <v>250</v>
          </cell>
        </row>
        <row r="27">
          <cell r="H27">
            <v>1000</v>
          </cell>
        </row>
        <row r="30">
          <cell r="H30">
            <v>14000</v>
          </cell>
        </row>
        <row r="32">
          <cell r="H32">
            <v>400</v>
          </cell>
        </row>
        <row r="33">
          <cell r="H33">
            <v>5000</v>
          </cell>
        </row>
        <row r="34">
          <cell r="H34">
            <v>4600</v>
          </cell>
        </row>
        <row r="36">
          <cell r="H36">
            <v>400</v>
          </cell>
        </row>
        <row r="37">
          <cell r="H37">
            <v>1600</v>
          </cell>
        </row>
        <row r="38">
          <cell r="H38">
            <v>400</v>
          </cell>
        </row>
        <row r="39">
          <cell r="H39">
            <v>400</v>
          </cell>
        </row>
        <row r="41">
          <cell r="H41">
            <v>425140.5424475015</v>
          </cell>
        </row>
      </sheetData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Payroll Detail"/>
    </sheetNames>
    <sheetDataSet>
      <sheetData sheetId="0"/>
      <sheetData sheetId="1">
        <row r="18">
          <cell r="L18">
            <v>750</v>
          </cell>
        </row>
      </sheetData>
      <sheetData sheetId="2">
        <row r="6">
          <cell r="H6">
            <v>12272</v>
          </cell>
        </row>
        <row r="7">
          <cell r="H7">
            <v>1752</v>
          </cell>
        </row>
        <row r="15">
          <cell r="H15">
            <v>517406.27429437946</v>
          </cell>
        </row>
        <row r="26">
          <cell r="H26">
            <v>400</v>
          </cell>
        </row>
        <row r="28">
          <cell r="H28">
            <v>1000</v>
          </cell>
        </row>
        <row r="29">
          <cell r="H29">
            <v>4000</v>
          </cell>
        </row>
        <row r="30">
          <cell r="H30">
            <v>3000</v>
          </cell>
        </row>
        <row r="33">
          <cell r="H33">
            <v>656819.93595800409</v>
          </cell>
        </row>
      </sheetData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Payroll Detail"/>
    </sheetNames>
    <sheetDataSet>
      <sheetData sheetId="0"/>
      <sheetData sheetId="1"/>
      <sheetData sheetId="2">
        <row r="7">
          <cell r="H7">
            <v>12576</v>
          </cell>
        </row>
        <row r="8">
          <cell r="H8">
            <v>1310.4000000000001</v>
          </cell>
        </row>
        <row r="15">
          <cell r="H15">
            <v>446469.62624212244</v>
          </cell>
        </row>
        <row r="18">
          <cell r="H18">
            <v>635412</v>
          </cell>
        </row>
        <row r="21">
          <cell r="H21">
            <v>35396</v>
          </cell>
        </row>
        <row r="23">
          <cell r="H23">
            <v>695</v>
          </cell>
        </row>
        <row r="24">
          <cell r="H24">
            <v>2606</v>
          </cell>
        </row>
        <row r="25">
          <cell r="H25">
            <v>500</v>
          </cell>
        </row>
        <row r="26">
          <cell r="H26">
            <v>945</v>
          </cell>
        </row>
        <row r="27">
          <cell r="H27">
            <v>3598</v>
          </cell>
        </row>
        <row r="28">
          <cell r="H28">
            <v>5080</v>
          </cell>
        </row>
        <row r="29">
          <cell r="H29">
            <v>1844</v>
          </cell>
        </row>
        <row r="30">
          <cell r="H30">
            <v>13025</v>
          </cell>
        </row>
        <row r="35">
          <cell r="H35">
            <v>142</v>
          </cell>
        </row>
        <row r="37">
          <cell r="H37">
            <v>120</v>
          </cell>
        </row>
        <row r="38">
          <cell r="H38">
            <v>2500</v>
          </cell>
        </row>
        <row r="39">
          <cell r="H39">
            <v>1000</v>
          </cell>
        </row>
        <row r="40">
          <cell r="H40">
            <v>5600</v>
          </cell>
        </row>
        <row r="43">
          <cell r="H43">
            <v>1267337.0774931314</v>
          </cell>
        </row>
      </sheetData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Payroll Detail"/>
    </sheetNames>
    <sheetDataSet>
      <sheetData sheetId="0"/>
      <sheetData sheetId="1"/>
      <sheetData sheetId="2">
        <row r="6">
          <cell r="H6">
            <v>3120</v>
          </cell>
        </row>
        <row r="7">
          <cell r="H7">
            <v>0</v>
          </cell>
        </row>
        <row r="14">
          <cell r="H14">
            <v>434491.19999999995</v>
          </cell>
        </row>
        <row r="18">
          <cell r="H18">
            <v>14000</v>
          </cell>
        </row>
        <row r="21">
          <cell r="H21">
            <v>12000</v>
          </cell>
        </row>
        <row r="23">
          <cell r="H23">
            <v>4000</v>
          </cell>
        </row>
        <row r="25">
          <cell r="H25">
            <v>500</v>
          </cell>
        </row>
        <row r="27">
          <cell r="H27">
            <v>1500</v>
          </cell>
        </row>
        <row r="35">
          <cell r="H35">
            <v>6000</v>
          </cell>
        </row>
        <row r="40">
          <cell r="H40">
            <v>100</v>
          </cell>
        </row>
        <row r="41">
          <cell r="H41">
            <v>1200</v>
          </cell>
        </row>
        <row r="43">
          <cell r="H43">
            <v>100</v>
          </cell>
        </row>
        <row r="44">
          <cell r="H44">
            <v>2000</v>
          </cell>
        </row>
        <row r="45">
          <cell r="H45">
            <v>1000</v>
          </cell>
        </row>
        <row r="47">
          <cell r="H47">
            <v>586279.92890517064</v>
          </cell>
        </row>
      </sheetData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Payroll Detail"/>
    </sheetNames>
    <sheetDataSet>
      <sheetData sheetId="0"/>
      <sheetData sheetId="1">
        <row r="15">
          <cell r="L15">
            <v>658157.28800000006</v>
          </cell>
        </row>
      </sheetData>
      <sheetData sheetId="2">
        <row r="6">
          <cell r="H6">
            <v>28604</v>
          </cell>
        </row>
        <row r="7">
          <cell r="H7">
            <v>414</v>
          </cell>
        </row>
        <row r="18">
          <cell r="H18">
            <v>34000</v>
          </cell>
        </row>
        <row r="20">
          <cell r="H20">
            <v>405841.28</v>
          </cell>
        </row>
        <row r="22">
          <cell r="H22">
            <v>7316.16</v>
          </cell>
        </row>
        <row r="25">
          <cell r="H25">
            <v>6398.46</v>
          </cell>
        </row>
        <row r="26">
          <cell r="H26">
            <v>500</v>
          </cell>
        </row>
        <row r="27">
          <cell r="H27">
            <v>4000</v>
          </cell>
        </row>
        <row r="28">
          <cell r="H28">
            <v>2000</v>
          </cell>
        </row>
        <row r="29">
          <cell r="H29">
            <v>7632.9</v>
          </cell>
        </row>
        <row r="31">
          <cell r="H31">
            <v>118176.02</v>
          </cell>
        </row>
        <row r="33">
          <cell r="H33">
            <v>12620.84</v>
          </cell>
        </row>
        <row r="37">
          <cell r="H37">
            <v>27530.720000000001</v>
          </cell>
        </row>
        <row r="39">
          <cell r="H39">
            <v>1086.6199999999999</v>
          </cell>
        </row>
        <row r="40">
          <cell r="H40">
            <v>1500</v>
          </cell>
        </row>
        <row r="41">
          <cell r="H41">
            <v>500</v>
          </cell>
        </row>
        <row r="43">
          <cell r="H43">
            <v>1500</v>
          </cell>
        </row>
        <row r="44">
          <cell r="H44">
            <v>2000</v>
          </cell>
        </row>
        <row r="45">
          <cell r="H45">
            <v>2500</v>
          </cell>
        </row>
        <row r="46">
          <cell r="H46">
            <v>10300.06</v>
          </cell>
        </row>
        <row r="48">
          <cell r="H48">
            <v>1469259.8815095264</v>
          </cell>
        </row>
      </sheetData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Payroll Detail"/>
    </sheetNames>
    <sheetDataSet>
      <sheetData sheetId="0"/>
      <sheetData sheetId="1"/>
      <sheetData sheetId="2">
        <row r="6">
          <cell r="H6">
            <v>850</v>
          </cell>
        </row>
        <row r="7">
          <cell r="H7">
            <v>0</v>
          </cell>
        </row>
        <row r="15">
          <cell r="H15">
            <v>23149.75</v>
          </cell>
        </row>
        <row r="18">
          <cell r="H18">
            <v>2800</v>
          </cell>
        </row>
        <row r="22">
          <cell r="H22">
            <v>31777.996295834011</v>
          </cell>
        </row>
      </sheetData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Charts"/>
      <sheetName val="Prod Table"/>
      <sheetName val="FTE detail"/>
      <sheetName val="Payroll by Timecode"/>
      <sheetName val="62-60-82"/>
    </sheetNames>
    <sheetDataSet>
      <sheetData sheetId="0"/>
      <sheetData sheetId="1"/>
      <sheetData sheetId="2">
        <row r="6">
          <cell r="J6">
            <v>20008</v>
          </cell>
        </row>
        <row r="7">
          <cell r="J7">
            <v>2080</v>
          </cell>
        </row>
        <row r="15">
          <cell r="J15">
            <v>688178</v>
          </cell>
        </row>
        <row r="19">
          <cell r="J19">
            <v>4743.66</v>
          </cell>
        </row>
        <row r="20">
          <cell r="J20">
            <v>10243</v>
          </cell>
        </row>
        <row r="21">
          <cell r="J21">
            <v>604</v>
          </cell>
        </row>
        <row r="22">
          <cell r="J22">
            <v>2682.89</v>
          </cell>
        </row>
        <row r="26">
          <cell r="J26">
            <v>5043.74</v>
          </cell>
        </row>
        <row r="29">
          <cell r="J29">
            <v>2402.42</v>
          </cell>
        </row>
        <row r="30">
          <cell r="J30">
            <v>1500</v>
          </cell>
        </row>
        <row r="31">
          <cell r="J31">
            <v>18206</v>
          </cell>
        </row>
        <row r="33">
          <cell r="J33">
            <v>284210.8</v>
          </cell>
        </row>
        <row r="35">
          <cell r="J35">
            <v>140367</v>
          </cell>
        </row>
        <row r="41">
          <cell r="J41">
            <v>1110</v>
          </cell>
        </row>
        <row r="43">
          <cell r="J43">
            <v>800</v>
          </cell>
        </row>
        <row r="45">
          <cell r="J45">
            <v>1500</v>
          </cell>
        </row>
        <row r="46">
          <cell r="J46">
            <v>1000</v>
          </cell>
        </row>
        <row r="47">
          <cell r="J47">
            <v>3000</v>
          </cell>
        </row>
        <row r="48">
          <cell r="J48">
            <v>129.57</v>
          </cell>
        </row>
        <row r="50">
          <cell r="J50">
            <v>1338978.7125608034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Payroll Detail"/>
    </sheetNames>
    <sheetDataSet>
      <sheetData sheetId="0"/>
      <sheetData sheetId="1"/>
      <sheetData sheetId="2">
        <row r="6">
          <cell r="H6">
            <v>7488</v>
          </cell>
        </row>
        <row r="7">
          <cell r="H7">
            <v>112</v>
          </cell>
        </row>
        <row r="15">
          <cell r="H15">
            <v>282221.64999999997</v>
          </cell>
        </row>
        <row r="18">
          <cell r="H18">
            <v>800</v>
          </cell>
        </row>
        <row r="19">
          <cell r="H19">
            <v>13200</v>
          </cell>
        </row>
        <row r="20">
          <cell r="H20">
            <v>281264</v>
          </cell>
        </row>
        <row r="21">
          <cell r="H21">
            <v>700</v>
          </cell>
        </row>
        <row r="23">
          <cell r="H23">
            <v>2800</v>
          </cell>
        </row>
        <row r="24">
          <cell r="H24">
            <v>700</v>
          </cell>
        </row>
        <row r="25">
          <cell r="H25">
            <v>200</v>
          </cell>
        </row>
        <row r="28">
          <cell r="H28">
            <v>1200</v>
          </cell>
        </row>
        <row r="29">
          <cell r="H29">
            <v>400</v>
          </cell>
        </row>
        <row r="30">
          <cell r="H30">
            <v>12324</v>
          </cell>
        </row>
        <row r="33">
          <cell r="H33">
            <v>400</v>
          </cell>
        </row>
        <row r="34">
          <cell r="H34">
            <v>1200</v>
          </cell>
        </row>
        <row r="35">
          <cell r="H35">
            <v>500</v>
          </cell>
        </row>
        <row r="36">
          <cell r="H36">
            <v>1500</v>
          </cell>
        </row>
        <row r="37">
          <cell r="H37">
            <v>1500</v>
          </cell>
        </row>
        <row r="38">
          <cell r="H38">
            <v>50</v>
          </cell>
        </row>
        <row r="40">
          <cell r="H40">
            <v>672012.56790264091</v>
          </cell>
        </row>
      </sheetData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Payroll Detail"/>
    </sheetNames>
    <sheetDataSet>
      <sheetData sheetId="0"/>
      <sheetData sheetId="1">
        <row r="20">
          <cell r="L20">
            <v>1500</v>
          </cell>
        </row>
        <row r="25">
          <cell r="L25">
            <v>11000</v>
          </cell>
        </row>
        <row r="31">
          <cell r="L31">
            <v>1500</v>
          </cell>
        </row>
        <row r="32">
          <cell r="L32">
            <v>0</v>
          </cell>
        </row>
        <row r="34">
          <cell r="L34">
            <v>92109.999842764708</v>
          </cell>
        </row>
      </sheetData>
      <sheetData sheetId="2">
        <row r="6">
          <cell r="H6">
            <v>2080</v>
          </cell>
        </row>
        <row r="7">
          <cell r="H7">
            <v>0</v>
          </cell>
        </row>
        <row r="16">
          <cell r="H16">
            <v>62400</v>
          </cell>
        </row>
      </sheetData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Payroll Detail"/>
    </sheetNames>
    <sheetDataSet>
      <sheetData sheetId="0"/>
      <sheetData sheetId="1"/>
      <sheetData sheetId="2">
        <row r="6">
          <cell r="H6">
            <v>3310</v>
          </cell>
        </row>
        <row r="7">
          <cell r="H7">
            <v>508</v>
          </cell>
        </row>
        <row r="15">
          <cell r="H15">
            <v>143584.44999999998</v>
          </cell>
        </row>
        <row r="18">
          <cell r="H18">
            <v>2736</v>
          </cell>
        </row>
        <row r="19">
          <cell r="H19">
            <v>12197</v>
          </cell>
        </row>
        <row r="20">
          <cell r="H20">
            <v>1600</v>
          </cell>
        </row>
        <row r="21">
          <cell r="H21">
            <v>3578</v>
          </cell>
        </row>
        <row r="23">
          <cell r="H23">
            <v>300</v>
          </cell>
        </row>
        <row r="24">
          <cell r="H24">
            <v>300</v>
          </cell>
        </row>
        <row r="25">
          <cell r="H25">
            <v>1100</v>
          </cell>
        </row>
        <row r="26">
          <cell r="H26">
            <v>1660</v>
          </cell>
        </row>
        <row r="27">
          <cell r="H27">
            <v>280</v>
          </cell>
        </row>
        <row r="29">
          <cell r="H29">
            <v>1500</v>
          </cell>
        </row>
        <row r="30">
          <cell r="H30">
            <v>3000</v>
          </cell>
        </row>
        <row r="33">
          <cell r="H33">
            <v>1900</v>
          </cell>
        </row>
        <row r="35">
          <cell r="H35">
            <v>550</v>
          </cell>
        </row>
        <row r="36">
          <cell r="H36">
            <v>470</v>
          </cell>
        </row>
        <row r="38">
          <cell r="H38">
            <v>210904.67575197844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Finace Qs"/>
      <sheetName val="Dept by SU"/>
      <sheetName val="Departmentals"/>
      <sheetName val="Manning Table"/>
      <sheetName val="Prod Table"/>
      <sheetName val="Payroll Detail"/>
    </sheetNames>
    <sheetDataSet>
      <sheetData sheetId="0"/>
      <sheetData sheetId="1"/>
      <sheetData sheetId="2">
        <row r="6">
          <cell r="H6">
            <v>35</v>
          </cell>
        </row>
        <row r="7">
          <cell r="H7">
            <v>0</v>
          </cell>
        </row>
        <row r="16">
          <cell r="H16">
            <v>1750</v>
          </cell>
        </row>
        <row r="22">
          <cell r="H22">
            <v>2475</v>
          </cell>
        </row>
        <row r="23">
          <cell r="H23">
            <v>0</v>
          </cell>
        </row>
        <row r="24">
          <cell r="H24">
            <v>500</v>
          </cell>
        </row>
        <row r="26">
          <cell r="H26">
            <v>5165.5849314877923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Payroll Detail"/>
    </sheetNames>
    <sheetDataSet>
      <sheetData sheetId="0"/>
      <sheetData sheetId="1"/>
      <sheetData sheetId="2">
        <row r="6">
          <cell r="H6">
            <v>13312</v>
          </cell>
        </row>
        <row r="7">
          <cell r="H7">
            <v>0</v>
          </cell>
        </row>
        <row r="15">
          <cell r="H15">
            <v>349197.67999999993</v>
          </cell>
        </row>
        <row r="18">
          <cell r="H18">
            <v>4500</v>
          </cell>
        </row>
        <row r="19">
          <cell r="H19">
            <v>300</v>
          </cell>
        </row>
        <row r="20">
          <cell r="H20">
            <v>3000</v>
          </cell>
        </row>
        <row r="22">
          <cell r="H22">
            <v>1000</v>
          </cell>
        </row>
        <row r="24">
          <cell r="H24">
            <v>2000</v>
          </cell>
        </row>
        <row r="25">
          <cell r="H25">
            <v>500</v>
          </cell>
        </row>
        <row r="28">
          <cell r="H28">
            <v>300</v>
          </cell>
        </row>
        <row r="29">
          <cell r="H29">
            <v>2000</v>
          </cell>
        </row>
        <row r="30">
          <cell r="H30">
            <v>17600</v>
          </cell>
        </row>
        <row r="37">
          <cell r="H37">
            <v>0</v>
          </cell>
        </row>
        <row r="38">
          <cell r="H38">
            <v>7500</v>
          </cell>
        </row>
        <row r="39">
          <cell r="H39">
            <v>1800</v>
          </cell>
        </row>
        <row r="42">
          <cell r="H42">
            <v>477612.67195342621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Payroll"/>
    </sheetNames>
    <sheetDataSet>
      <sheetData sheetId="0"/>
      <sheetData sheetId="1"/>
      <sheetData sheetId="2">
        <row r="6">
          <cell r="H6">
            <v>8760</v>
          </cell>
        </row>
        <row r="7">
          <cell r="H7">
            <v>0</v>
          </cell>
        </row>
        <row r="16">
          <cell r="H16">
            <v>963600</v>
          </cell>
        </row>
        <row r="20">
          <cell r="H20">
            <v>500</v>
          </cell>
        </row>
        <row r="21">
          <cell r="H21">
            <v>1250</v>
          </cell>
        </row>
        <row r="22">
          <cell r="H22">
            <v>1250</v>
          </cell>
        </row>
        <row r="23">
          <cell r="H23">
            <v>15000</v>
          </cell>
        </row>
        <row r="26">
          <cell r="H26">
            <v>1224198.651418078</v>
          </cell>
        </row>
      </sheetData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Payroll Detail"/>
    </sheetNames>
    <sheetDataSet>
      <sheetData sheetId="0"/>
      <sheetData sheetId="1"/>
      <sheetData sheetId="2">
        <row r="6">
          <cell r="H6">
            <v>19600</v>
          </cell>
        </row>
        <row r="7">
          <cell r="H7">
            <v>3504</v>
          </cell>
        </row>
        <row r="15">
          <cell r="H15">
            <v>776956.54479952413</v>
          </cell>
        </row>
        <row r="19">
          <cell r="H19">
            <v>50000</v>
          </cell>
        </row>
        <row r="20">
          <cell r="H20">
            <v>7000</v>
          </cell>
        </row>
        <row r="21">
          <cell r="H21">
            <v>35000</v>
          </cell>
        </row>
        <row r="24">
          <cell r="H24">
            <v>500</v>
          </cell>
        </row>
        <row r="25">
          <cell r="H25">
            <v>6000</v>
          </cell>
        </row>
        <row r="27">
          <cell r="H27">
            <v>1100</v>
          </cell>
        </row>
        <row r="28">
          <cell r="H28">
            <v>7000</v>
          </cell>
        </row>
        <row r="29">
          <cell r="H29">
            <v>21500</v>
          </cell>
        </row>
        <row r="31">
          <cell r="H31">
            <v>6000</v>
          </cell>
        </row>
        <row r="33">
          <cell r="H33">
            <v>1700</v>
          </cell>
        </row>
        <row r="37">
          <cell r="H37">
            <v>4700</v>
          </cell>
        </row>
        <row r="38">
          <cell r="H38">
            <v>4500</v>
          </cell>
        </row>
        <row r="39">
          <cell r="H39">
            <v>1000</v>
          </cell>
        </row>
        <row r="45">
          <cell r="H45">
            <v>1118565.3139763756</v>
          </cell>
        </row>
      </sheetData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Payroll Detail"/>
    </sheetNames>
    <sheetDataSet>
      <sheetData sheetId="0"/>
      <sheetData sheetId="1"/>
      <sheetData sheetId="2">
        <row r="16">
          <cell r="H16">
            <v>25000</v>
          </cell>
        </row>
        <row r="22">
          <cell r="H22">
            <v>100</v>
          </cell>
        </row>
        <row r="39">
          <cell r="H39">
            <v>31394.070449825602</v>
          </cell>
        </row>
      </sheetData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</sheetNames>
    <sheetDataSet>
      <sheetData sheetId="0"/>
      <sheetData sheetId="1"/>
      <sheetData sheetId="2">
        <row r="20">
          <cell r="H20">
            <v>25000</v>
          </cell>
        </row>
        <row r="37">
          <cell r="H37">
            <v>25000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656"/>
    </sheetNames>
    <sheetDataSet>
      <sheetData sheetId="0"/>
      <sheetData sheetId="1"/>
      <sheetData sheetId="2">
        <row r="6">
          <cell r="H6">
            <v>7833.2</v>
          </cell>
        </row>
        <row r="7">
          <cell r="H7">
            <v>608.72</v>
          </cell>
        </row>
        <row r="15">
          <cell r="H15">
            <v>257832.77207759657</v>
          </cell>
        </row>
        <row r="18">
          <cell r="H18">
            <v>1500</v>
          </cell>
        </row>
        <row r="19">
          <cell r="H19">
            <v>750</v>
          </cell>
        </row>
        <row r="20">
          <cell r="H20">
            <v>1300</v>
          </cell>
        </row>
        <row r="22">
          <cell r="H22">
            <v>30</v>
          </cell>
        </row>
        <row r="23">
          <cell r="H23">
            <v>5000</v>
          </cell>
        </row>
        <row r="26">
          <cell r="H26">
            <v>800</v>
          </cell>
        </row>
        <row r="27">
          <cell r="H27">
            <v>800</v>
          </cell>
        </row>
        <row r="29">
          <cell r="H29">
            <v>500</v>
          </cell>
        </row>
        <row r="31">
          <cell r="H31">
            <v>250</v>
          </cell>
        </row>
        <row r="32">
          <cell r="H32">
            <v>400</v>
          </cell>
        </row>
        <row r="33">
          <cell r="H33">
            <v>200</v>
          </cell>
        </row>
        <row r="36">
          <cell r="H36">
            <v>500</v>
          </cell>
        </row>
        <row r="37">
          <cell r="H37">
            <v>4000</v>
          </cell>
        </row>
        <row r="38">
          <cell r="H38">
            <v>100</v>
          </cell>
        </row>
        <row r="39">
          <cell r="H39">
            <v>1500</v>
          </cell>
        </row>
        <row r="42">
          <cell r="H42">
            <v>1600</v>
          </cell>
        </row>
        <row r="43">
          <cell r="H43">
            <v>400</v>
          </cell>
        </row>
        <row r="44">
          <cell r="H44">
            <v>100</v>
          </cell>
        </row>
        <row r="46">
          <cell r="H46">
            <v>342475.47734680539</v>
          </cell>
        </row>
      </sheetData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Payroll Detail"/>
    </sheetNames>
    <sheetDataSet>
      <sheetData sheetId="0"/>
      <sheetData sheetId="1"/>
      <sheetData sheetId="2">
        <row r="6">
          <cell r="H6">
            <v>17537</v>
          </cell>
        </row>
        <row r="7">
          <cell r="H7">
            <v>0</v>
          </cell>
        </row>
        <row r="14">
          <cell r="H14">
            <v>383284.12020867091</v>
          </cell>
        </row>
        <row r="18">
          <cell r="H18">
            <v>2831.7420000000002</v>
          </cell>
        </row>
        <row r="20">
          <cell r="H20">
            <v>811.15200000000004</v>
          </cell>
        </row>
        <row r="21">
          <cell r="H21">
            <v>15831.764999999999</v>
          </cell>
        </row>
        <row r="23">
          <cell r="H23">
            <v>10</v>
          </cell>
        </row>
        <row r="25">
          <cell r="H25">
            <v>100</v>
          </cell>
        </row>
        <row r="26">
          <cell r="H26">
            <v>1097.5</v>
          </cell>
        </row>
        <row r="29">
          <cell r="H29">
            <v>399.82499999999999</v>
          </cell>
        </row>
        <row r="31">
          <cell r="H31">
            <v>17276.88</v>
          </cell>
        </row>
        <row r="32">
          <cell r="H32">
            <v>600</v>
          </cell>
        </row>
        <row r="33">
          <cell r="H33">
            <v>1850</v>
          </cell>
        </row>
        <row r="34">
          <cell r="H34">
            <v>4320</v>
          </cell>
        </row>
        <row r="37">
          <cell r="H37">
            <v>363.68099999999998</v>
          </cell>
        </row>
        <row r="39">
          <cell r="H39">
            <v>66.789000000000001</v>
          </cell>
        </row>
        <row r="40">
          <cell r="H40">
            <v>50187.5</v>
          </cell>
        </row>
        <row r="41">
          <cell r="H41">
            <v>1000</v>
          </cell>
        </row>
        <row r="43">
          <cell r="H43">
            <v>1717.26</v>
          </cell>
        </row>
        <row r="44">
          <cell r="H44">
            <v>1005</v>
          </cell>
        </row>
        <row r="45">
          <cell r="H45">
            <v>250</v>
          </cell>
        </row>
        <row r="46">
          <cell r="H46">
            <v>50</v>
          </cell>
        </row>
        <row r="48">
          <cell r="H48">
            <v>579549.90440438292</v>
          </cell>
        </row>
      </sheetData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Prod Table"/>
    </sheetNames>
    <sheetDataSet>
      <sheetData sheetId="0"/>
      <sheetData sheetId="1">
        <row r="32">
          <cell r="H32">
            <v>3000</v>
          </cell>
        </row>
        <row r="33">
          <cell r="H33">
            <v>500</v>
          </cell>
        </row>
        <row r="37">
          <cell r="H37">
            <v>55460.499913520587</v>
          </cell>
        </row>
      </sheetData>
      <sheetData sheetId="2">
        <row r="6">
          <cell r="H6">
            <v>2080</v>
          </cell>
        </row>
        <row r="7">
          <cell r="H7">
            <v>0</v>
          </cell>
        </row>
        <row r="15">
          <cell r="H15">
            <v>34320</v>
          </cell>
        </row>
        <row r="20">
          <cell r="H20">
            <v>200</v>
          </cell>
        </row>
        <row r="21">
          <cell r="H21">
            <v>1000</v>
          </cell>
        </row>
        <row r="24">
          <cell r="H24">
            <v>7500</v>
          </cell>
        </row>
        <row r="28">
          <cell r="H28">
            <v>200</v>
          </cell>
        </row>
        <row r="29">
          <cell r="H29">
            <v>100</v>
          </cell>
        </row>
      </sheetData>
      <sheetData sheetId="3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Payroll Manning"/>
      <sheetName val="Prod Table"/>
      <sheetName val="Payroll Detail"/>
    </sheetNames>
    <sheetDataSet>
      <sheetData sheetId="0"/>
      <sheetData sheetId="1"/>
      <sheetData sheetId="2">
        <row r="6">
          <cell r="H6">
            <v>5416</v>
          </cell>
        </row>
        <row r="7">
          <cell r="H7">
            <v>0</v>
          </cell>
        </row>
        <row r="16">
          <cell r="H16">
            <v>209385.32581935189</v>
          </cell>
        </row>
        <row r="20">
          <cell r="H20">
            <v>250</v>
          </cell>
        </row>
        <row r="22">
          <cell r="H22">
            <v>800</v>
          </cell>
        </row>
        <row r="23">
          <cell r="H23">
            <v>1000</v>
          </cell>
        </row>
        <row r="24">
          <cell r="H24">
            <v>1500</v>
          </cell>
        </row>
        <row r="26">
          <cell r="H26">
            <v>800</v>
          </cell>
        </row>
        <row r="28">
          <cell r="H28">
            <v>4500</v>
          </cell>
        </row>
        <row r="29">
          <cell r="H29">
            <v>2700</v>
          </cell>
        </row>
        <row r="31">
          <cell r="H31">
            <v>5000</v>
          </cell>
        </row>
        <row r="32">
          <cell r="H32">
            <v>6000</v>
          </cell>
        </row>
        <row r="33">
          <cell r="H33">
            <v>350</v>
          </cell>
        </row>
        <row r="35">
          <cell r="H35">
            <v>285000.76549401943</v>
          </cell>
        </row>
      </sheetData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ayroll Detail"/>
    </sheetNames>
    <sheetDataSet>
      <sheetData sheetId="0"/>
      <sheetData sheetId="1"/>
      <sheetData sheetId="2">
        <row r="6">
          <cell r="D6">
            <v>2080</v>
          </cell>
        </row>
        <row r="7">
          <cell r="D7">
            <v>0</v>
          </cell>
        </row>
        <row r="15">
          <cell r="D15">
            <v>76901</v>
          </cell>
        </row>
        <row r="22">
          <cell r="D22">
            <v>500</v>
          </cell>
        </row>
        <row r="30">
          <cell r="D30">
            <v>26000</v>
          </cell>
        </row>
        <row r="31">
          <cell r="D31">
            <v>1800</v>
          </cell>
        </row>
        <row r="33">
          <cell r="D33">
            <v>360</v>
          </cell>
        </row>
        <row r="36">
          <cell r="D36">
            <v>1200</v>
          </cell>
        </row>
        <row r="37">
          <cell r="D37">
            <v>3000</v>
          </cell>
        </row>
        <row r="40">
          <cell r="D40">
            <v>129121.81246648156</v>
          </cell>
        </row>
      </sheetData>
      <sheetData sheetId="3"/>
      <sheetData sheetId="4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</sheetNames>
    <sheetDataSet>
      <sheetData sheetId="0"/>
      <sheetData sheetId="1"/>
      <sheetData sheetId="2">
        <row r="29">
          <cell r="H29">
            <v>1700</v>
          </cell>
        </row>
        <row r="31">
          <cell r="H31">
            <v>3000</v>
          </cell>
        </row>
        <row r="33">
          <cell r="H33">
            <v>4700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</sheetNames>
    <sheetDataSet>
      <sheetData sheetId="0"/>
      <sheetData sheetId="1"/>
      <sheetData sheetId="2">
        <row r="21">
          <cell r="H21">
            <v>1700</v>
          </cell>
        </row>
        <row r="23">
          <cell r="H23">
            <v>8000</v>
          </cell>
        </row>
        <row r="25">
          <cell r="H25">
            <v>9700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</sheetNames>
    <sheetDataSet>
      <sheetData sheetId="0"/>
      <sheetData sheetId="1"/>
      <sheetData sheetId="2">
        <row r="26">
          <cell r="H26">
            <v>1700</v>
          </cell>
        </row>
        <row r="28">
          <cell r="H28">
            <v>1700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Payroll Detail"/>
    </sheetNames>
    <sheetDataSet>
      <sheetData sheetId="0"/>
      <sheetData sheetId="1"/>
      <sheetData sheetId="2">
        <row r="6">
          <cell r="H6">
            <v>15020</v>
          </cell>
        </row>
        <row r="7">
          <cell r="H7">
            <v>0</v>
          </cell>
        </row>
        <row r="15">
          <cell r="H15">
            <v>363526.07828784717</v>
          </cell>
        </row>
        <row r="22">
          <cell r="H22">
            <v>5000</v>
          </cell>
        </row>
        <row r="23">
          <cell r="H23">
            <v>900</v>
          </cell>
        </row>
        <row r="24">
          <cell r="H24">
            <v>800</v>
          </cell>
        </row>
        <row r="26">
          <cell r="H26">
            <v>8500</v>
          </cell>
        </row>
        <row r="28">
          <cell r="H28">
            <v>500</v>
          </cell>
        </row>
        <row r="31">
          <cell r="H31">
            <v>240</v>
          </cell>
        </row>
        <row r="33">
          <cell r="H33">
            <v>250</v>
          </cell>
        </row>
        <row r="34">
          <cell r="H34">
            <v>100</v>
          </cell>
        </row>
        <row r="35">
          <cell r="H35">
            <v>2500</v>
          </cell>
        </row>
        <row r="36">
          <cell r="H36">
            <v>100</v>
          </cell>
        </row>
        <row r="37">
          <cell r="H37">
            <v>3600</v>
          </cell>
        </row>
        <row r="39">
          <cell r="H39">
            <v>477538.42817154829</v>
          </cell>
        </row>
      </sheetData>
      <sheetData sheetId="3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New 678"/>
      <sheetName val="678 - MSA"/>
      <sheetName val="Prod Table"/>
      <sheetName val="651 - PBC"/>
      <sheetName val="651 - Manning"/>
      <sheetName val="Manning Table"/>
      <sheetName val="Payroll Detail"/>
    </sheetNames>
    <sheetDataSet>
      <sheetData sheetId="0"/>
      <sheetData sheetId="1"/>
      <sheetData sheetId="2">
        <row r="6">
          <cell r="H6">
            <v>23990</v>
          </cell>
        </row>
        <row r="7">
          <cell r="H7">
            <v>0</v>
          </cell>
        </row>
        <row r="15">
          <cell r="H15">
            <v>818430.05059466674</v>
          </cell>
        </row>
        <row r="19">
          <cell r="H19">
            <v>800</v>
          </cell>
        </row>
        <row r="21">
          <cell r="H21">
            <v>32000</v>
          </cell>
        </row>
        <row r="22">
          <cell r="H22">
            <v>2000</v>
          </cell>
        </row>
        <row r="23">
          <cell r="H23">
            <v>6500</v>
          </cell>
        </row>
        <row r="25">
          <cell r="H25">
            <v>200</v>
          </cell>
        </row>
        <row r="26">
          <cell r="H26">
            <v>3500</v>
          </cell>
        </row>
        <row r="27">
          <cell r="H27">
            <v>1500</v>
          </cell>
        </row>
        <row r="28">
          <cell r="H28">
            <v>1000</v>
          </cell>
        </row>
        <row r="29">
          <cell r="H29">
            <v>350</v>
          </cell>
        </row>
        <row r="31">
          <cell r="H31">
            <v>10982.08656</v>
          </cell>
        </row>
        <row r="32">
          <cell r="H32">
            <v>4043.6480000000006</v>
          </cell>
        </row>
        <row r="33">
          <cell r="H33">
            <v>1886.6011999999998</v>
          </cell>
        </row>
        <row r="35">
          <cell r="H35">
            <v>1479</v>
          </cell>
        </row>
        <row r="38">
          <cell r="H38">
            <v>48000</v>
          </cell>
        </row>
        <row r="39">
          <cell r="H39">
            <v>10000</v>
          </cell>
        </row>
        <row r="41">
          <cell r="H41">
            <v>100</v>
          </cell>
        </row>
        <row r="43">
          <cell r="H43">
            <v>5500</v>
          </cell>
        </row>
        <row r="44">
          <cell r="H44">
            <v>1500</v>
          </cell>
        </row>
        <row r="45">
          <cell r="H45">
            <v>2200</v>
          </cell>
        </row>
        <row r="46">
          <cell r="H46">
            <v>250</v>
          </cell>
        </row>
        <row r="48">
          <cell r="H48">
            <v>11400</v>
          </cell>
        </row>
        <row r="49">
          <cell r="H49">
            <v>800</v>
          </cell>
        </row>
        <row r="50">
          <cell r="H50">
            <v>500</v>
          </cell>
        </row>
        <row r="52">
          <cell r="H52">
            <v>1170971.6422225533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Trudy Budget"/>
      <sheetName val="Payroll"/>
      <sheetName val="Prod Table"/>
      <sheetName val="Manning Table"/>
      <sheetName val="Payroll Detail"/>
    </sheetNames>
    <sheetDataSet>
      <sheetData sheetId="0"/>
      <sheetData sheetId="1"/>
      <sheetData sheetId="2">
        <row r="6">
          <cell r="H6">
            <v>31683.040778312439</v>
          </cell>
        </row>
        <row r="7">
          <cell r="H7">
            <v>1040</v>
          </cell>
        </row>
        <row r="15">
          <cell r="H15">
            <v>509921.38</v>
          </cell>
        </row>
        <row r="17">
          <cell r="H17">
            <v>58000</v>
          </cell>
        </row>
        <row r="20">
          <cell r="H20">
            <v>75500</v>
          </cell>
        </row>
        <row r="21">
          <cell r="H21">
            <v>900</v>
          </cell>
        </row>
        <row r="22">
          <cell r="H22">
            <v>40000</v>
          </cell>
        </row>
        <row r="23">
          <cell r="H23">
            <v>4000</v>
          </cell>
        </row>
        <row r="24">
          <cell r="H24">
            <v>3000</v>
          </cell>
        </row>
        <row r="26">
          <cell r="H26">
            <v>1280</v>
          </cell>
        </row>
        <row r="28">
          <cell r="H28">
            <v>1000</v>
          </cell>
        </row>
        <row r="29">
          <cell r="H29">
            <v>50</v>
          </cell>
        </row>
        <row r="30">
          <cell r="H30">
            <v>18000</v>
          </cell>
        </row>
        <row r="31">
          <cell r="H31">
            <v>300</v>
          </cell>
        </row>
        <row r="32">
          <cell r="H32">
            <v>250</v>
          </cell>
        </row>
        <row r="33">
          <cell r="H33">
            <v>2500</v>
          </cell>
        </row>
        <row r="34">
          <cell r="H34">
            <v>1500</v>
          </cell>
        </row>
        <row r="36">
          <cell r="H36">
            <v>6105.6460799999995</v>
          </cell>
        </row>
        <row r="37">
          <cell r="H37">
            <v>5498.8640000000005</v>
          </cell>
        </row>
        <row r="38">
          <cell r="H38">
            <v>1167.308</v>
          </cell>
        </row>
        <row r="39">
          <cell r="H39">
            <v>11259.5532</v>
          </cell>
        </row>
        <row r="40">
          <cell r="H40">
            <v>7418.0724</v>
          </cell>
        </row>
        <row r="43">
          <cell r="H43">
            <v>45500</v>
          </cell>
        </row>
        <row r="45">
          <cell r="H45">
            <v>4100</v>
          </cell>
        </row>
        <row r="46">
          <cell r="H46">
            <v>2500</v>
          </cell>
        </row>
        <row r="49">
          <cell r="H49">
            <v>0</v>
          </cell>
        </row>
        <row r="50">
          <cell r="H50">
            <v>270</v>
          </cell>
        </row>
        <row r="52">
          <cell r="H52">
            <v>3000</v>
          </cell>
        </row>
        <row r="54">
          <cell r="H54">
            <v>800</v>
          </cell>
        </row>
        <row r="55">
          <cell r="H55">
            <v>50</v>
          </cell>
        </row>
        <row r="58">
          <cell r="H58">
            <v>2100</v>
          </cell>
        </row>
        <row r="59">
          <cell r="H59">
            <v>1000</v>
          </cell>
        </row>
        <row r="60">
          <cell r="H60">
            <v>2500</v>
          </cell>
        </row>
        <row r="62">
          <cell r="H62">
            <v>937850.06726369145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Payroll Detail"/>
    </sheetNames>
    <sheetDataSet>
      <sheetData sheetId="0"/>
      <sheetData sheetId="1"/>
      <sheetData sheetId="2">
        <row r="6">
          <cell r="H6">
            <v>29536</v>
          </cell>
        </row>
        <row r="7">
          <cell r="H7">
            <v>1394</v>
          </cell>
        </row>
        <row r="14">
          <cell r="H14">
            <v>284349.31384615385</v>
          </cell>
        </row>
        <row r="17">
          <cell r="H17">
            <v>2000</v>
          </cell>
        </row>
        <row r="19">
          <cell r="H19">
            <v>240000</v>
          </cell>
        </row>
        <row r="21">
          <cell r="H21">
            <v>5200</v>
          </cell>
        </row>
        <row r="22">
          <cell r="H22">
            <v>2300</v>
          </cell>
        </row>
        <row r="23">
          <cell r="H23">
            <v>2000</v>
          </cell>
        </row>
        <row r="25">
          <cell r="H25">
            <v>8500</v>
          </cell>
        </row>
        <row r="26">
          <cell r="H26">
            <v>33000</v>
          </cell>
        </row>
        <row r="28">
          <cell r="H28">
            <v>500</v>
          </cell>
        </row>
        <row r="29">
          <cell r="H29">
            <v>3774.34</v>
          </cell>
        </row>
        <row r="33">
          <cell r="H33">
            <v>300</v>
          </cell>
        </row>
        <row r="34">
          <cell r="H34">
            <v>150</v>
          </cell>
        </row>
        <row r="36">
          <cell r="H36">
            <v>500</v>
          </cell>
        </row>
        <row r="37">
          <cell r="H37">
            <v>2200</v>
          </cell>
        </row>
        <row r="41">
          <cell r="H41">
            <v>656362.23839444434</v>
          </cell>
        </row>
      </sheetData>
      <sheetData sheetId="3"/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Payroll Detail"/>
    </sheetNames>
    <sheetDataSet>
      <sheetData sheetId="0"/>
      <sheetData sheetId="1"/>
      <sheetData sheetId="2">
        <row r="6">
          <cell r="H6">
            <v>4160</v>
          </cell>
        </row>
        <row r="7">
          <cell r="H7">
            <v>280</v>
          </cell>
        </row>
        <row r="14">
          <cell r="H14">
            <v>55748</v>
          </cell>
        </row>
        <row r="18">
          <cell r="H18">
            <v>14000</v>
          </cell>
        </row>
        <row r="19">
          <cell r="H19">
            <v>956</v>
          </cell>
        </row>
        <row r="22">
          <cell r="H22">
            <v>750</v>
          </cell>
        </row>
        <row r="23">
          <cell r="H23">
            <v>1659</v>
          </cell>
        </row>
        <row r="25">
          <cell r="H25">
            <v>34240</v>
          </cell>
        </row>
        <row r="26">
          <cell r="H26">
            <v>600</v>
          </cell>
        </row>
        <row r="30">
          <cell r="H30">
            <v>121988.27357747511</v>
          </cell>
        </row>
      </sheetData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Payroll Detail"/>
    </sheetNames>
    <sheetDataSet>
      <sheetData sheetId="0"/>
      <sheetData sheetId="1"/>
      <sheetData sheetId="2">
        <row r="6">
          <cell r="H6">
            <v>27786</v>
          </cell>
        </row>
        <row r="7">
          <cell r="H7">
            <v>560</v>
          </cell>
        </row>
        <row r="14">
          <cell r="H14">
            <v>244980.74000000005</v>
          </cell>
        </row>
        <row r="18">
          <cell r="H18">
            <v>556</v>
          </cell>
        </row>
        <row r="21">
          <cell r="H21">
            <v>16500</v>
          </cell>
        </row>
        <row r="22">
          <cell r="H22">
            <v>520</v>
          </cell>
        </row>
        <row r="23">
          <cell r="H23">
            <v>500</v>
          </cell>
        </row>
        <row r="24">
          <cell r="H24">
            <v>2103.75</v>
          </cell>
        </row>
        <row r="25">
          <cell r="H25">
            <v>30500</v>
          </cell>
        </row>
        <row r="27">
          <cell r="H27">
            <v>11895</v>
          </cell>
        </row>
        <row r="28">
          <cell r="H28">
            <v>650</v>
          </cell>
        </row>
        <row r="35">
          <cell r="H35">
            <v>369882.53145641641</v>
          </cell>
        </row>
      </sheetData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Payroll Detail"/>
      <sheetName val="Purchased services detail"/>
      <sheetName val="Departmentals (from Martha)"/>
      <sheetName val="Sheet1"/>
    </sheetNames>
    <sheetDataSet>
      <sheetData sheetId="0"/>
      <sheetData sheetId="1"/>
      <sheetData sheetId="2">
        <row r="15">
          <cell r="H15">
            <v>0</v>
          </cell>
        </row>
        <row r="20">
          <cell r="H20">
            <v>0</v>
          </cell>
        </row>
        <row r="23">
          <cell r="H23">
            <v>188800</v>
          </cell>
        </row>
        <row r="29">
          <cell r="H29">
            <v>188800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Finanace Qs"/>
      <sheetName val="Dept by SU"/>
      <sheetName val="Departmentals 86"/>
      <sheetName val="Manning Table"/>
      <sheetName val="Prod Table"/>
      <sheetName val="Payroll Detail"/>
      <sheetName val="Purchased services on contract"/>
      <sheetName val="Departmentals 85"/>
    </sheetNames>
    <sheetDataSet>
      <sheetData sheetId="0"/>
      <sheetData sheetId="1">
        <row r="15">
          <cell r="L15">
            <v>144213.52000000002</v>
          </cell>
        </row>
      </sheetData>
      <sheetData sheetId="2">
        <row r="6">
          <cell r="H6">
            <v>6640</v>
          </cell>
        </row>
        <row r="7">
          <cell r="H7">
            <v>80</v>
          </cell>
        </row>
        <row r="19">
          <cell r="H19">
            <v>600</v>
          </cell>
        </row>
        <row r="20">
          <cell r="H20">
            <v>2000</v>
          </cell>
        </row>
        <row r="21">
          <cell r="H21">
            <v>111279.87648000001</v>
          </cell>
        </row>
        <row r="22">
          <cell r="H22">
            <v>103159.9376</v>
          </cell>
        </row>
        <row r="23">
          <cell r="H23">
            <v>21743.605800000001</v>
          </cell>
        </row>
        <row r="24">
          <cell r="H24">
            <v>30392.934800000003</v>
          </cell>
        </row>
        <row r="25">
          <cell r="H25">
            <v>23439.9264</v>
          </cell>
        </row>
        <row r="28">
          <cell r="H28">
            <v>37000</v>
          </cell>
        </row>
        <row r="29">
          <cell r="H29">
            <v>35000</v>
          </cell>
        </row>
        <row r="30">
          <cell r="H30">
            <v>21800</v>
          </cell>
        </row>
        <row r="31">
          <cell r="H31">
            <v>6600</v>
          </cell>
        </row>
        <row r="32">
          <cell r="H32">
            <v>7126</v>
          </cell>
        </row>
        <row r="34">
          <cell r="H34">
            <v>1200</v>
          </cell>
        </row>
        <row r="35">
          <cell r="H35">
            <v>200</v>
          </cell>
        </row>
        <row r="36">
          <cell r="H36">
            <v>8000</v>
          </cell>
        </row>
        <row r="37">
          <cell r="H37">
            <v>1500</v>
          </cell>
        </row>
        <row r="38">
          <cell r="H38">
            <v>100</v>
          </cell>
        </row>
        <row r="40">
          <cell r="H40">
            <v>591663.40326789336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Payroll Detail"/>
    </sheetNames>
    <sheetDataSet>
      <sheetData sheetId="0"/>
      <sheetData sheetId="1"/>
      <sheetData sheetId="2">
        <row r="6">
          <cell r="H6">
            <v>6240</v>
          </cell>
        </row>
        <row r="7">
          <cell r="H7">
            <v>100</v>
          </cell>
        </row>
        <row r="14">
          <cell r="H14">
            <v>130780</v>
          </cell>
        </row>
        <row r="17">
          <cell r="H17">
            <v>560</v>
          </cell>
        </row>
        <row r="18">
          <cell r="H18">
            <v>1200</v>
          </cell>
        </row>
        <row r="19">
          <cell r="H19">
            <v>1800</v>
          </cell>
        </row>
        <row r="20">
          <cell r="H20">
            <v>2020</v>
          </cell>
        </row>
        <row r="21">
          <cell r="H21">
            <v>250</v>
          </cell>
        </row>
        <row r="23">
          <cell r="H23">
            <v>500</v>
          </cell>
        </row>
        <row r="24">
          <cell r="H24">
            <v>200</v>
          </cell>
        </row>
        <row r="26">
          <cell r="H26">
            <v>170235.54133712768</v>
          </cell>
        </row>
      </sheetData>
      <sheetData sheetId="3"/>
      <sheetData sheetId="4"/>
      <sheetData sheetId="5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Payroll Detail"/>
    </sheetNames>
    <sheetDataSet>
      <sheetData sheetId="0"/>
      <sheetData sheetId="1"/>
      <sheetData sheetId="2">
        <row r="6">
          <cell r="H6">
            <v>4160</v>
          </cell>
        </row>
        <row r="7">
          <cell r="H7">
            <v>0</v>
          </cell>
        </row>
        <row r="14">
          <cell r="H14">
            <v>180000</v>
          </cell>
        </row>
        <row r="17">
          <cell r="H17">
            <v>87200</v>
          </cell>
        </row>
        <row r="18">
          <cell r="H18">
            <v>20000</v>
          </cell>
        </row>
        <row r="23">
          <cell r="H23">
            <v>7000</v>
          </cell>
        </row>
        <row r="27">
          <cell r="H27">
            <v>8400</v>
          </cell>
        </row>
        <row r="29">
          <cell r="H29">
            <v>94178</v>
          </cell>
        </row>
        <row r="31">
          <cell r="H31">
            <v>568125</v>
          </cell>
        </row>
        <row r="34">
          <cell r="H34">
            <v>500</v>
          </cell>
        </row>
        <row r="35">
          <cell r="H35">
            <v>504</v>
          </cell>
        </row>
        <row r="38">
          <cell r="H38">
            <v>1000</v>
          </cell>
        </row>
        <row r="39">
          <cell r="H39">
            <v>1000</v>
          </cell>
        </row>
        <row r="40">
          <cell r="H40">
            <v>68882</v>
          </cell>
        </row>
        <row r="41">
          <cell r="H41">
            <v>15000</v>
          </cell>
        </row>
        <row r="42">
          <cell r="H42">
            <v>39000</v>
          </cell>
        </row>
        <row r="43">
          <cell r="H43">
            <v>20000</v>
          </cell>
        </row>
        <row r="46">
          <cell r="H46">
            <v>1156106.3072387443</v>
          </cell>
        </row>
      </sheetData>
      <sheetData sheetId="3"/>
      <sheetData sheetId="4"/>
      <sheetData sheetId="5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Payroll Detail"/>
    </sheetNames>
    <sheetDataSet>
      <sheetData sheetId="0"/>
      <sheetData sheetId="1"/>
      <sheetData sheetId="2">
        <row r="6">
          <cell r="H6">
            <v>8320</v>
          </cell>
        </row>
        <row r="7">
          <cell r="H7">
            <v>160</v>
          </cell>
        </row>
        <row r="14">
          <cell r="H14">
            <v>184110.70769230768</v>
          </cell>
        </row>
        <row r="16">
          <cell r="H16">
            <v>5000</v>
          </cell>
        </row>
        <row r="17">
          <cell r="H17">
            <v>47500</v>
          </cell>
        </row>
        <row r="19">
          <cell r="H19">
            <v>4000</v>
          </cell>
        </row>
        <row r="27">
          <cell r="H27">
            <v>14400</v>
          </cell>
        </row>
        <row r="28">
          <cell r="H28">
            <v>200</v>
          </cell>
        </row>
        <row r="29">
          <cell r="H29">
            <v>1003</v>
          </cell>
        </row>
        <row r="31">
          <cell r="H31">
            <v>200</v>
          </cell>
        </row>
        <row r="32">
          <cell r="H32">
            <v>1750</v>
          </cell>
        </row>
        <row r="33">
          <cell r="H33">
            <v>1750</v>
          </cell>
        </row>
        <row r="34">
          <cell r="H34">
            <v>100</v>
          </cell>
        </row>
        <row r="36">
          <cell r="H36">
            <v>306365.93828361301</v>
          </cell>
        </row>
      </sheetData>
      <sheetData sheetId="3"/>
      <sheetData sheetId="4"/>
      <sheetData sheetId="5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Payroll Detail"/>
    </sheetNames>
    <sheetDataSet>
      <sheetData sheetId="0"/>
      <sheetData sheetId="1"/>
      <sheetData sheetId="2">
        <row r="6">
          <cell r="H6">
            <v>17472</v>
          </cell>
        </row>
        <row r="7">
          <cell r="H7">
            <v>2424</v>
          </cell>
        </row>
        <row r="14">
          <cell r="H14">
            <v>160037.85513452155</v>
          </cell>
        </row>
        <row r="17">
          <cell r="H17">
            <v>1436.3580000000002</v>
          </cell>
        </row>
        <row r="19">
          <cell r="H19">
            <v>8600.6550000000007</v>
          </cell>
        </row>
        <row r="20">
          <cell r="H20">
            <v>0</v>
          </cell>
        </row>
        <row r="22">
          <cell r="H22">
            <v>355.06800000000004</v>
          </cell>
        </row>
        <row r="24">
          <cell r="H24">
            <v>6528.38</v>
          </cell>
        </row>
        <row r="26">
          <cell r="H26">
            <v>50</v>
          </cell>
        </row>
        <row r="29">
          <cell r="H29">
            <v>200</v>
          </cell>
        </row>
        <row r="30">
          <cell r="H30">
            <v>450</v>
          </cell>
        </row>
        <row r="33">
          <cell r="H33">
            <v>217949.89752874809</v>
          </cell>
        </row>
      </sheetData>
      <sheetData sheetId="3"/>
      <sheetData sheetId="4"/>
      <sheetData sheetId="5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Payroll Detail"/>
    </sheetNames>
    <sheetDataSet>
      <sheetData sheetId="0"/>
      <sheetData sheetId="1"/>
      <sheetData sheetId="2">
        <row r="6">
          <cell r="H6">
            <v>19760</v>
          </cell>
        </row>
        <row r="7">
          <cell r="H7">
            <v>120</v>
          </cell>
        </row>
        <row r="14">
          <cell r="H14">
            <v>341706.9254015662</v>
          </cell>
        </row>
        <row r="19">
          <cell r="H19">
            <v>9753.2610000000004</v>
          </cell>
        </row>
        <row r="21">
          <cell r="H21">
            <v>651</v>
          </cell>
        </row>
        <row r="24">
          <cell r="H24">
            <v>28800</v>
          </cell>
        </row>
        <row r="25">
          <cell r="H25">
            <v>500</v>
          </cell>
        </row>
        <row r="27">
          <cell r="H27">
            <v>1540</v>
          </cell>
        </row>
        <row r="30">
          <cell r="H30">
            <v>200</v>
          </cell>
        </row>
        <row r="31">
          <cell r="H31">
            <v>100</v>
          </cell>
        </row>
        <row r="32">
          <cell r="H32">
            <v>14000</v>
          </cell>
        </row>
        <row r="33">
          <cell r="H33">
            <v>250</v>
          </cell>
        </row>
        <row r="35">
          <cell r="H35">
            <v>40414.364000000001</v>
          </cell>
        </row>
        <row r="37">
          <cell r="H37">
            <v>523944.64886839659</v>
          </cell>
        </row>
      </sheetData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Payroll Detail"/>
    </sheetNames>
    <sheetDataSet>
      <sheetData sheetId="0"/>
      <sheetData sheetId="1"/>
      <sheetData sheetId="2">
        <row r="6">
          <cell r="H6">
            <v>8320</v>
          </cell>
        </row>
        <row r="7">
          <cell r="H7">
            <v>0</v>
          </cell>
        </row>
        <row r="14">
          <cell r="H14">
            <v>188208</v>
          </cell>
        </row>
        <row r="16">
          <cell r="H16">
            <v>20000</v>
          </cell>
        </row>
        <row r="17">
          <cell r="H17">
            <v>10000</v>
          </cell>
        </row>
        <row r="22">
          <cell r="H22">
            <v>3000</v>
          </cell>
        </row>
        <row r="23">
          <cell r="H23">
            <v>2000</v>
          </cell>
        </row>
        <row r="26">
          <cell r="H26">
            <v>3000</v>
          </cell>
        </row>
        <row r="29">
          <cell r="H29">
            <v>80000</v>
          </cell>
        </row>
        <row r="30">
          <cell r="H30">
            <v>500</v>
          </cell>
        </row>
        <row r="31">
          <cell r="H31">
            <v>850</v>
          </cell>
        </row>
        <row r="33">
          <cell r="H33">
            <v>16340</v>
          </cell>
        </row>
        <row r="34">
          <cell r="H34">
            <v>11695</v>
          </cell>
        </row>
        <row r="35">
          <cell r="H35">
            <v>5420</v>
          </cell>
        </row>
        <row r="36">
          <cell r="H36">
            <v>500</v>
          </cell>
        </row>
        <row r="37">
          <cell r="H37">
            <v>56875</v>
          </cell>
        </row>
      </sheetData>
      <sheetData sheetId="3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2007-08"/>
      <sheetName val="Dept by SU"/>
      <sheetName val="Departmentals"/>
      <sheetName val="Manning Table"/>
      <sheetName val="Prod Table"/>
      <sheetName val="2008-09"/>
      <sheetName val="Capital 2008-09"/>
      <sheetName val="Capital Vendor"/>
    </sheetNames>
    <sheetDataSet>
      <sheetData sheetId="0"/>
      <sheetData sheetId="1"/>
      <sheetData sheetId="2"/>
      <sheetData sheetId="3">
        <row r="6">
          <cell r="H6">
            <v>4160</v>
          </cell>
        </row>
        <row r="7">
          <cell r="H7">
            <v>0</v>
          </cell>
        </row>
        <row r="14">
          <cell r="H14">
            <v>104577.4</v>
          </cell>
        </row>
        <row r="19">
          <cell r="H19">
            <v>2500</v>
          </cell>
        </row>
        <row r="20">
          <cell r="H20">
            <v>2000</v>
          </cell>
        </row>
        <row r="21">
          <cell r="H21">
            <v>12000</v>
          </cell>
        </row>
        <row r="24">
          <cell r="H24">
            <v>98000</v>
          </cell>
        </row>
        <row r="28">
          <cell r="H28">
            <v>93500</v>
          </cell>
        </row>
        <row r="29">
          <cell r="H29">
            <v>500</v>
          </cell>
        </row>
        <row r="30">
          <cell r="H30">
            <v>800</v>
          </cell>
        </row>
        <row r="33">
          <cell r="H33">
            <v>2000</v>
          </cell>
        </row>
        <row r="34">
          <cell r="H34">
            <v>1500</v>
          </cell>
        </row>
        <row r="35">
          <cell r="H35">
            <v>10000</v>
          </cell>
        </row>
        <row r="37">
          <cell r="H37">
            <v>353706.10092238366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Payroll Detail"/>
    </sheetNames>
    <sheetDataSet>
      <sheetData sheetId="0"/>
      <sheetData sheetId="1"/>
      <sheetData sheetId="2">
        <row r="6">
          <cell r="H6">
            <v>13160</v>
          </cell>
        </row>
        <row r="7">
          <cell r="H7">
            <v>0</v>
          </cell>
        </row>
        <row r="14">
          <cell r="H14">
            <v>216310.39999999999</v>
          </cell>
        </row>
        <row r="19">
          <cell r="H19">
            <v>5000</v>
          </cell>
        </row>
        <row r="20">
          <cell r="H20">
            <v>800</v>
          </cell>
        </row>
        <row r="21">
          <cell r="H21">
            <v>100</v>
          </cell>
        </row>
        <row r="23">
          <cell r="H23">
            <v>72000</v>
          </cell>
        </row>
        <row r="25">
          <cell r="H25">
            <v>6000</v>
          </cell>
        </row>
        <row r="28">
          <cell r="H28">
            <v>250</v>
          </cell>
        </row>
        <row r="29">
          <cell r="H29">
            <v>1673</v>
          </cell>
        </row>
        <row r="32">
          <cell r="H32">
            <v>3000</v>
          </cell>
        </row>
        <row r="33">
          <cell r="H33">
            <v>1100</v>
          </cell>
        </row>
        <row r="36">
          <cell r="H36">
            <v>360692.31586519827</v>
          </cell>
        </row>
      </sheetData>
      <sheetData sheetId="3"/>
      <sheetData sheetId="4"/>
      <sheetData sheetId="5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Finance Qs"/>
      <sheetName val="Dept by SU"/>
      <sheetName val="Departmentals"/>
      <sheetName val="Manning Table"/>
      <sheetName val="Prod Table"/>
      <sheetName val="Payroll Detail"/>
    </sheetNames>
    <sheetDataSet>
      <sheetData sheetId="0"/>
      <sheetData sheetId="1"/>
      <sheetData sheetId="2">
        <row r="14">
          <cell r="H14">
            <v>0</v>
          </cell>
        </row>
        <row r="22">
          <cell r="H22">
            <v>0</v>
          </cell>
        </row>
        <row r="23">
          <cell r="H23">
            <v>0</v>
          </cell>
        </row>
        <row r="27">
          <cell r="H27">
            <v>0</v>
          </cell>
        </row>
        <row r="35">
          <cell r="H35">
            <v>0</v>
          </cell>
        </row>
      </sheetData>
      <sheetData sheetId="3"/>
      <sheetData sheetId="4"/>
      <sheetData sheetId="5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Departmentals"/>
    </sheetNames>
    <sheetDataSet>
      <sheetData sheetId="0">
        <row r="14">
          <cell r="D14">
            <v>30000</v>
          </cell>
        </row>
        <row r="33">
          <cell r="D33">
            <v>30000</v>
          </cell>
        </row>
        <row r="39">
          <cell r="D39">
            <v>67552.884539790728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Departmentals"/>
    </sheetNames>
    <sheetDataSet>
      <sheetData sheetId="0">
        <row r="33">
          <cell r="D33">
            <v>97000</v>
          </cell>
        </row>
        <row r="39">
          <cell r="D39">
            <v>97000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0"/>
  <sheetViews>
    <sheetView tabSelected="1" topLeftCell="A4" workbookViewId="0">
      <selection activeCell="T6" sqref="T6"/>
    </sheetView>
  </sheetViews>
  <sheetFormatPr defaultRowHeight="12.75"/>
  <cols>
    <col min="1" max="1" width="4.28515625" style="3" customWidth="1"/>
    <col min="2" max="2" width="28.85546875" style="3" customWidth="1"/>
    <col min="3" max="3" width="16" style="17" customWidth="1"/>
    <col min="4" max="4" width="2.7109375" style="18" customWidth="1"/>
    <col min="5" max="5" width="15.5703125" style="17" customWidth="1"/>
    <col min="6" max="6" width="2.7109375" style="17" customWidth="1"/>
    <col min="7" max="7" width="16" style="17" hidden="1" customWidth="1"/>
    <col min="8" max="8" width="2.7109375" style="18" hidden="1" customWidth="1"/>
    <col min="9" max="9" width="15.140625" style="3" customWidth="1"/>
    <col min="10" max="10" width="2.28515625" style="3" customWidth="1"/>
    <col min="11" max="11" width="13.140625" style="3" customWidth="1"/>
    <col min="12" max="12" width="3.85546875" style="3" customWidth="1"/>
    <col min="13" max="13" width="16.7109375" style="3" hidden="1" customWidth="1"/>
    <col min="14" max="14" width="17.85546875" style="3" hidden="1" customWidth="1"/>
    <col min="15" max="15" width="2.42578125" style="3" hidden="1" customWidth="1"/>
    <col min="16" max="18" width="15.7109375" style="3" hidden="1" customWidth="1"/>
    <col min="19" max="16384" width="9.140625" style="3"/>
  </cols>
  <sheetData>
    <row r="1" spans="1:18" hidden="1">
      <c r="A1" s="1"/>
      <c r="B1" s="1"/>
      <c r="C1" s="1"/>
      <c r="D1" s="1"/>
      <c r="E1" s="1"/>
      <c r="F1" s="1"/>
      <c r="G1" s="1"/>
      <c r="H1" s="2"/>
    </row>
    <row r="2" spans="1:18" hidden="1">
      <c r="A2" s="1"/>
      <c r="B2" s="1"/>
      <c r="C2" s="1"/>
      <c r="D2" s="1"/>
      <c r="E2" s="1"/>
      <c r="F2" s="1"/>
      <c r="G2" s="1"/>
      <c r="H2" s="2"/>
    </row>
    <row r="3" spans="1:18" hidden="1">
      <c r="A3" s="1"/>
      <c r="B3" s="1"/>
      <c r="C3" s="1"/>
      <c r="D3" s="1"/>
      <c r="E3" s="1"/>
      <c r="F3" s="1"/>
      <c r="G3" s="1"/>
      <c r="H3" s="2"/>
    </row>
    <row r="4" spans="1:18" ht="15.75">
      <c r="A4" s="1"/>
      <c r="B4" s="1"/>
      <c r="C4" s="4"/>
      <c r="D4" s="1"/>
      <c r="E4" s="4"/>
      <c r="F4" s="4"/>
      <c r="G4" s="4"/>
      <c r="H4" s="2"/>
      <c r="I4" s="4" t="s">
        <v>0</v>
      </c>
      <c r="K4" s="4" t="s">
        <v>1</v>
      </c>
      <c r="M4" s="144" t="s">
        <v>2</v>
      </c>
      <c r="N4" s="144"/>
    </row>
    <row r="5" spans="1:18" ht="15.75">
      <c r="C5" s="6" t="s">
        <v>3</v>
      </c>
      <c r="D5" s="7"/>
      <c r="E5" s="6" t="s">
        <v>3</v>
      </c>
      <c r="F5" s="6"/>
      <c r="G5" s="8" t="s">
        <v>4</v>
      </c>
      <c r="H5" s="7"/>
      <c r="I5" s="4" t="s">
        <v>5</v>
      </c>
      <c r="K5" s="4" t="s">
        <v>6</v>
      </c>
      <c r="M5" s="5" t="s">
        <v>7</v>
      </c>
      <c r="N5" s="5" t="s">
        <v>8</v>
      </c>
      <c r="P5" s="9" t="s">
        <v>9</v>
      </c>
      <c r="Q5" s="9" t="s">
        <v>10</v>
      </c>
      <c r="R5" s="9" t="s">
        <v>10</v>
      </c>
    </row>
    <row r="6" spans="1:18" ht="16.5" thickBot="1">
      <c r="C6" s="10" t="s">
        <v>11</v>
      </c>
      <c r="D6" s="7"/>
      <c r="E6" s="10" t="s">
        <v>12</v>
      </c>
      <c r="F6" s="11"/>
      <c r="G6" s="10" t="s">
        <v>13</v>
      </c>
      <c r="H6" s="7"/>
      <c r="I6" s="12" t="s">
        <v>14</v>
      </c>
      <c r="K6" s="13">
        <v>2009</v>
      </c>
      <c r="M6" s="14" t="s">
        <v>15</v>
      </c>
      <c r="N6" s="14" t="s">
        <v>15</v>
      </c>
      <c r="P6" s="15" t="s">
        <v>16</v>
      </c>
      <c r="Q6" s="15" t="s">
        <v>17</v>
      </c>
      <c r="R6" s="15" t="s">
        <v>18</v>
      </c>
    </row>
    <row r="7" spans="1:18">
      <c r="A7" s="16" t="s">
        <v>19</v>
      </c>
    </row>
    <row r="8" spans="1:18">
      <c r="B8" s="3" t="s">
        <v>20</v>
      </c>
      <c r="C8" s="19">
        <v>3860005</v>
      </c>
      <c r="D8" s="20"/>
      <c r="E8" s="21">
        <v>4223148</v>
      </c>
      <c r="F8" s="22"/>
      <c r="G8" s="21">
        <v>4572122</v>
      </c>
      <c r="H8" s="20"/>
      <c r="I8" s="21">
        <f>(G8/10)*12</f>
        <v>5486546.4000000004</v>
      </c>
      <c r="K8" s="17">
        <f>'[1]Department Detail'!BB9</f>
        <v>7452714.2293239525</v>
      </c>
      <c r="M8" s="23">
        <f>K8-I8</f>
        <v>1966167.8293239521</v>
      </c>
      <c r="N8" s="24">
        <f>M8/I8</f>
        <v>0.35836165157082278</v>
      </c>
      <c r="P8" s="25">
        <f>K8/$K$14</f>
        <v>0.18043176339233583</v>
      </c>
    </row>
    <row r="9" spans="1:18">
      <c r="B9" s="3" t="s">
        <v>21</v>
      </c>
      <c r="C9" s="26">
        <v>1687320</v>
      </c>
      <c r="D9" s="27"/>
      <c r="E9" s="28">
        <v>1926298</v>
      </c>
      <c r="F9" s="29"/>
      <c r="G9" s="21">
        <v>1546986</v>
      </c>
      <c r="H9" s="27"/>
      <c r="I9" s="26">
        <f>(G9/10)*12</f>
        <v>1856383.2000000002</v>
      </c>
      <c r="K9" s="17">
        <f>'[1]Department Detail'!BB10</f>
        <v>805721.72762133693</v>
      </c>
      <c r="M9" s="23">
        <f t="shared" ref="M9:M46" si="0">K9-I9</f>
        <v>-1050661.4723786633</v>
      </c>
      <c r="N9" s="24">
        <f t="shared" ref="N9:N44" si="1">M9/I9</f>
        <v>-0.56597230161243817</v>
      </c>
      <c r="P9" s="25">
        <f t="shared" ref="P9:P46" si="2">K9/$K$14</f>
        <v>1.9506690803495975E-2</v>
      </c>
    </row>
    <row r="10" spans="1:18">
      <c r="B10" s="3" t="s">
        <v>22</v>
      </c>
      <c r="C10" s="26">
        <v>4470260</v>
      </c>
      <c r="D10" s="27"/>
      <c r="E10" s="30">
        <v>5473200</v>
      </c>
      <c r="F10" s="31"/>
      <c r="G10" s="21">
        <v>5388377</v>
      </c>
      <c r="H10" s="27"/>
      <c r="I10" s="26">
        <f>(G10/10)*12</f>
        <v>6466052.3999999994</v>
      </c>
      <c r="K10" s="17">
        <f>'[1]Department Detail'!BB11</f>
        <v>8619193.0419825166</v>
      </c>
      <c r="M10" s="23">
        <f t="shared" si="0"/>
        <v>2153140.6419825172</v>
      </c>
      <c r="N10" s="24">
        <f t="shared" si="1"/>
        <v>0.33299152385194364</v>
      </c>
      <c r="P10" s="25">
        <f t="shared" si="2"/>
        <v>0.20867245834608222</v>
      </c>
    </row>
    <row r="11" spans="1:18">
      <c r="B11" s="3" t="s">
        <v>23</v>
      </c>
      <c r="C11" s="26">
        <v>12396379</v>
      </c>
      <c r="D11" s="27"/>
      <c r="E11" s="32">
        <v>14101632</v>
      </c>
      <c r="F11" s="33"/>
      <c r="G11" s="21">
        <v>14117239</v>
      </c>
      <c r="H11" s="27"/>
      <c r="I11" s="26">
        <f>(G11/10)*12</f>
        <v>16940686.799999997</v>
      </c>
      <c r="K11" s="17">
        <f>'[1]Department Detail'!BB12</f>
        <v>23081467.589199342</v>
      </c>
      <c r="M11" s="23">
        <f t="shared" si="0"/>
        <v>6140780.7891993448</v>
      </c>
      <c r="N11" s="24">
        <f t="shared" si="1"/>
        <v>0.36248712119507137</v>
      </c>
      <c r="P11" s="25">
        <f t="shared" si="2"/>
        <v>0.55880713665577697</v>
      </c>
    </row>
    <row r="12" spans="1:18">
      <c r="B12" s="3" t="s">
        <v>24</v>
      </c>
      <c r="C12" s="34">
        <v>2045145</v>
      </c>
      <c r="D12" s="27"/>
      <c r="E12" s="35">
        <v>2020480</v>
      </c>
      <c r="F12" s="36"/>
      <c r="G12" s="37">
        <v>1695720</v>
      </c>
      <c r="I12" s="34">
        <f>(G12/10)*12</f>
        <v>2034864</v>
      </c>
      <c r="J12" s="28"/>
      <c r="K12" s="38">
        <f>'[1]Department Detail'!BB13</f>
        <v>1345793.9101082606</v>
      </c>
      <c r="L12" s="28"/>
      <c r="M12" s="39">
        <f t="shared" si="0"/>
        <v>-689070.08989173942</v>
      </c>
      <c r="N12" s="40">
        <f t="shared" si="1"/>
        <v>-0.33863201171760837</v>
      </c>
      <c r="P12" s="41">
        <f t="shared" si="2"/>
        <v>3.258195080230885E-2</v>
      </c>
    </row>
    <row r="13" spans="1:18" ht="4.5" customHeight="1">
      <c r="E13" s="42"/>
      <c r="F13" s="42"/>
      <c r="G13" s="42"/>
      <c r="I13" s="43"/>
      <c r="K13" s="17"/>
      <c r="M13" s="23"/>
      <c r="N13" s="24"/>
      <c r="P13" s="25"/>
    </row>
    <row r="14" spans="1:18">
      <c r="A14" s="3" t="s">
        <v>25</v>
      </c>
      <c r="C14" s="19">
        <f>SUM(C8:C12)</f>
        <v>24459109</v>
      </c>
      <c r="D14" s="20"/>
      <c r="E14" s="19">
        <f>SUM(E8:E12)</f>
        <v>27744758</v>
      </c>
      <c r="F14" s="19"/>
      <c r="G14" s="19">
        <f>SUM(G8:G12)</f>
        <v>27320444</v>
      </c>
      <c r="H14" s="20"/>
      <c r="I14" s="19">
        <f>SUM(I8:I12)</f>
        <v>32784532.799999997</v>
      </c>
      <c r="J14" s="28"/>
      <c r="K14" s="19">
        <f>SUM(K8:K12)</f>
        <v>41304890.498235412</v>
      </c>
      <c r="M14" s="23">
        <f t="shared" si="0"/>
        <v>8520357.6982354149</v>
      </c>
      <c r="N14" s="44">
        <f t="shared" si="1"/>
        <v>0.25988955676792247</v>
      </c>
      <c r="P14" s="25">
        <f t="shared" si="2"/>
        <v>1</v>
      </c>
    </row>
    <row r="15" spans="1:18" ht="5.25" customHeight="1">
      <c r="B15" s="26"/>
      <c r="C15" s="45"/>
      <c r="D15" s="46"/>
      <c r="E15" s="42"/>
      <c r="F15" s="42"/>
      <c r="G15" s="42"/>
      <c r="H15" s="46"/>
      <c r="I15" s="28"/>
      <c r="K15" s="28"/>
      <c r="M15" s="23"/>
      <c r="N15" s="24"/>
      <c r="P15" s="25"/>
    </row>
    <row r="16" spans="1:18">
      <c r="A16" s="16" t="s">
        <v>26</v>
      </c>
      <c r="C16" s="27"/>
      <c r="D16" s="27"/>
      <c r="E16" s="47"/>
      <c r="F16" s="47"/>
      <c r="G16" s="48"/>
      <c r="H16" s="27"/>
      <c r="I16" s="18"/>
      <c r="K16" s="17"/>
      <c r="M16" s="23"/>
      <c r="N16" s="24"/>
      <c r="P16" s="25"/>
    </row>
    <row r="17" spans="1:20">
      <c r="A17" s="49"/>
      <c r="B17" s="3" t="s">
        <v>27</v>
      </c>
      <c r="C17" s="27">
        <f>5546929-C19</f>
        <v>5091849</v>
      </c>
      <c r="D17" s="27"/>
      <c r="E17" s="47">
        <v>6118315</v>
      </c>
      <c r="F17" s="47"/>
      <c r="G17" s="48">
        <v>7210322</v>
      </c>
      <c r="H17" s="27"/>
      <c r="I17" s="18">
        <f>((SUM(I8:I11)-SUM(G8:G11))*27.7%)+G17</f>
        <v>8629931.7095999997</v>
      </c>
      <c r="K17" s="18">
        <f>'[1]Department Detail'!BB19</f>
        <v>11787934</v>
      </c>
      <c r="M17" s="23">
        <f t="shared" si="0"/>
        <v>3158002.2904000003</v>
      </c>
      <c r="N17" s="24">
        <f t="shared" si="1"/>
        <v>0.36593595368628645</v>
      </c>
      <c r="P17" s="50">
        <f t="shared" si="2"/>
        <v>0.28538833677584963</v>
      </c>
    </row>
    <row r="18" spans="1:20">
      <c r="A18" s="49"/>
      <c r="B18" s="3" t="s">
        <v>28</v>
      </c>
      <c r="C18" s="27">
        <v>1014307</v>
      </c>
      <c r="D18" s="27"/>
      <c r="E18" s="47">
        <v>1928091</v>
      </c>
      <c r="F18" s="47"/>
      <c r="G18" s="48">
        <v>1499354</v>
      </c>
      <c r="H18" s="27"/>
      <c r="I18" s="18">
        <f>((SUM(I8:I11)-SUM(G8:G11))*8%)+G18</f>
        <v>1909349.5839999998</v>
      </c>
      <c r="K18" s="18">
        <f>'[1]Department Detail'!BB20</f>
        <v>1997955</v>
      </c>
      <c r="M18" s="23">
        <f t="shared" si="0"/>
        <v>88605.416000000201</v>
      </c>
      <c r="N18" s="24">
        <f t="shared" si="1"/>
        <v>4.6406072906971768E-2</v>
      </c>
      <c r="P18" s="50">
        <f t="shared" si="2"/>
        <v>4.8370906589992164E-2</v>
      </c>
    </row>
    <row r="19" spans="1:20">
      <c r="A19" s="49"/>
      <c r="B19" s="3" t="s">
        <v>29</v>
      </c>
      <c r="C19" s="34">
        <v>455080</v>
      </c>
      <c r="D19" s="27"/>
      <c r="E19" s="51">
        <v>441641</v>
      </c>
      <c r="F19" s="47"/>
      <c r="G19" s="37">
        <v>848406</v>
      </c>
      <c r="H19" s="27"/>
      <c r="I19" s="38">
        <f>((SUM(I8:I11)-SUM(G8:G11))*3%)+G19</f>
        <v>1002154.3439999999</v>
      </c>
      <c r="K19" s="38">
        <f>'[1]Department Detail'!BB21</f>
        <v>1598364</v>
      </c>
      <c r="M19" s="39">
        <f t="shared" si="0"/>
        <v>596209.65600000008</v>
      </c>
      <c r="N19" s="40">
        <f t="shared" si="1"/>
        <v>0.59492797648343088</v>
      </c>
      <c r="P19" s="52">
        <f t="shared" si="2"/>
        <v>3.8696725271993734E-2</v>
      </c>
    </row>
    <row r="20" spans="1:20" ht="3.75" customHeight="1">
      <c r="A20" s="49"/>
      <c r="C20" s="27"/>
      <c r="D20" s="27"/>
      <c r="E20" s="47"/>
      <c r="F20" s="47"/>
      <c r="G20" s="48"/>
      <c r="H20" s="27"/>
      <c r="I20" s="18"/>
      <c r="K20" s="17"/>
      <c r="M20" s="23"/>
      <c r="N20" s="24"/>
      <c r="P20" s="50"/>
    </row>
    <row r="21" spans="1:20">
      <c r="A21" s="3" t="s">
        <v>30</v>
      </c>
      <c r="C21" s="27">
        <f>SUM(C17:C19)</f>
        <v>6561236</v>
      </c>
      <c r="D21" s="27"/>
      <c r="E21" s="27">
        <f>SUM(E17:E19)</f>
        <v>8488047</v>
      </c>
      <c r="F21" s="47"/>
      <c r="G21" s="27">
        <f>SUM(G17:G19)</f>
        <v>9558082</v>
      </c>
      <c r="H21" s="27"/>
      <c r="I21" s="27">
        <f>SUM(I17:I19)</f>
        <v>11541435.637600001</v>
      </c>
      <c r="K21" s="18">
        <f>SUM(K17:K19)</f>
        <v>15384253</v>
      </c>
      <c r="M21" s="23">
        <f t="shared" si="0"/>
        <v>3842817.3623999991</v>
      </c>
      <c r="N21" s="24">
        <f t="shared" si="1"/>
        <v>0.33295834964246257</v>
      </c>
      <c r="P21" s="50">
        <f t="shared" si="2"/>
        <v>0.37245596863783553</v>
      </c>
      <c r="Q21" s="25"/>
    </row>
    <row r="22" spans="1:20" ht="6" customHeight="1">
      <c r="C22" s="53"/>
      <c r="D22" s="54"/>
      <c r="E22" s="55"/>
      <c r="F22" s="55"/>
      <c r="G22" s="55"/>
      <c r="H22" s="56"/>
      <c r="K22" s="17"/>
      <c r="M22" s="23"/>
      <c r="N22" s="24"/>
      <c r="P22" s="50"/>
      <c r="Q22" s="25"/>
    </row>
    <row r="23" spans="1:20">
      <c r="A23" s="3" t="s">
        <v>31</v>
      </c>
      <c r="C23" s="19">
        <f>SUM(C14-C21)</f>
        <v>17897873</v>
      </c>
      <c r="D23" s="20"/>
      <c r="E23" s="19">
        <f>SUM(E14-E21)</f>
        <v>19256711</v>
      </c>
      <c r="F23" s="57"/>
      <c r="G23" s="19">
        <f>SUM(G14-G21)</f>
        <v>17762362</v>
      </c>
      <c r="H23" s="20"/>
      <c r="I23" s="19">
        <f>SUM(I14-I21)</f>
        <v>21243097.162399996</v>
      </c>
      <c r="K23" s="19">
        <f>SUM(K14-K21)</f>
        <v>25920637.498235412</v>
      </c>
      <c r="M23" s="58">
        <f t="shared" si="0"/>
        <v>4677540.3358354159</v>
      </c>
      <c r="N23" s="59">
        <f t="shared" si="1"/>
        <v>0.22019107195511026</v>
      </c>
      <c r="O23" s="60"/>
      <c r="P23" s="52">
        <f t="shared" si="2"/>
        <v>0.62754403136216441</v>
      </c>
      <c r="Q23" s="41">
        <f>K23/$K$23</f>
        <v>1</v>
      </c>
    </row>
    <row r="24" spans="1:20" ht="6" customHeight="1">
      <c r="E24" s="42"/>
      <c r="F24" s="42"/>
      <c r="G24" s="42"/>
      <c r="I24" s="28"/>
      <c r="K24" s="17"/>
      <c r="M24" s="61">
        <f>K18/SUM(K8:K11)</f>
        <v>5.0000004269206692E-2</v>
      </c>
      <c r="N24" s="24"/>
      <c r="P24" s="25"/>
      <c r="Q24" s="62"/>
    </row>
    <row r="25" spans="1:20">
      <c r="A25" s="16" t="s">
        <v>32</v>
      </c>
      <c r="C25" s="63">
        <f>C27/C26</f>
        <v>0.23883580091993875</v>
      </c>
      <c r="D25" s="64"/>
      <c r="E25" s="63">
        <f>E27/E26</f>
        <v>0.25472782173496406</v>
      </c>
      <c r="F25" s="65"/>
      <c r="G25" s="65"/>
      <c r="H25" s="64"/>
      <c r="I25" s="63">
        <f>I27/I26</f>
        <v>0.25166958947609203</v>
      </c>
      <c r="J25" s="66"/>
      <c r="K25" s="63">
        <f>K27/K26</f>
        <v>0.25176281799302413</v>
      </c>
      <c r="L25" s="66"/>
      <c r="M25" s="61">
        <f>K19/SUM(K8:K11)</f>
        <v>4.0000003415365352E-2</v>
      </c>
      <c r="N25" s="67"/>
      <c r="O25" s="66"/>
      <c r="P25" s="68"/>
      <c r="Q25" s="69"/>
      <c r="R25" s="66"/>
      <c r="S25" s="66"/>
      <c r="T25" s="66"/>
    </row>
    <row r="26" spans="1:20">
      <c r="B26" s="3" t="s">
        <v>33</v>
      </c>
      <c r="C26" s="19">
        <v>8441649</v>
      </c>
      <c r="D26" s="20"/>
      <c r="E26" s="19">
        <v>9023553</v>
      </c>
      <c r="F26" s="19"/>
      <c r="G26" s="19">
        <v>9141319</v>
      </c>
      <c r="H26" s="20"/>
      <c r="I26" s="21">
        <f>(G26/10)*12</f>
        <v>10969582.800000001</v>
      </c>
      <c r="J26" s="28"/>
      <c r="K26" s="17">
        <f>'[1]Department Detail'!BB27</f>
        <v>13636680.89952524</v>
      </c>
      <c r="L26" s="28"/>
      <c r="M26" s="23">
        <f t="shared" si="0"/>
        <v>2667098.0995252393</v>
      </c>
      <c r="N26" s="24">
        <f t="shared" si="1"/>
        <v>0.24313578265941338</v>
      </c>
      <c r="P26" s="25">
        <f t="shared" si="2"/>
        <v>0.33014688418331029</v>
      </c>
      <c r="Q26" s="62">
        <f t="shared" ref="Q26:Q46" si="3">K26/$K$23</f>
        <v>0.52609357699838899</v>
      </c>
      <c r="R26" s="25">
        <f>K26/$K$37</f>
        <v>0.53687698180636811</v>
      </c>
    </row>
    <row r="27" spans="1:20">
      <c r="B27" s="3" t="s">
        <v>34</v>
      </c>
      <c r="C27" s="26">
        <v>2016168</v>
      </c>
      <c r="D27" s="27"/>
      <c r="E27" s="17">
        <v>2298550</v>
      </c>
      <c r="G27" s="17">
        <v>2300592</v>
      </c>
      <c r="H27" s="27"/>
      <c r="I27" s="26">
        <f>(G27/10)*12</f>
        <v>2760710.4000000004</v>
      </c>
      <c r="J27" s="17"/>
      <c r="K27" s="17">
        <f>'[1]Department Detail'!BB28</f>
        <v>3433209.2113361214</v>
      </c>
      <c r="M27" s="23">
        <f t="shared" si="0"/>
        <v>672498.81133612106</v>
      </c>
      <c r="N27" s="24">
        <f t="shared" si="1"/>
        <v>0.24359629004770691</v>
      </c>
      <c r="P27" s="25">
        <f t="shared" si="2"/>
        <v>8.3118709913606759E-2</v>
      </c>
      <c r="Q27" s="62">
        <f t="shared" si="3"/>
        <v>0.13245080147314442</v>
      </c>
      <c r="R27" s="25">
        <f t="shared" ref="R27:R37" si="4">K27/$K$37</f>
        <v>0.1351656618551608</v>
      </c>
    </row>
    <row r="28" spans="1:20">
      <c r="B28" s="3" t="s">
        <v>35</v>
      </c>
      <c r="C28" s="26">
        <v>1033235</v>
      </c>
      <c r="D28" s="27"/>
      <c r="E28" s="17">
        <v>1047888</v>
      </c>
      <c r="G28" s="17">
        <v>519598</v>
      </c>
      <c r="H28" s="27"/>
      <c r="I28" s="26">
        <f t="shared" ref="I28:I35" si="5">(G28/10)*12</f>
        <v>623517.60000000009</v>
      </c>
      <c r="J28" s="28"/>
      <c r="K28" s="17">
        <f>SUM('[1]Department Detail'!BB31:BB35)</f>
        <v>248700</v>
      </c>
      <c r="M28" s="23">
        <f t="shared" si="0"/>
        <v>-374817.60000000009</v>
      </c>
      <c r="N28" s="24">
        <f t="shared" si="1"/>
        <v>-0.60113395355640331</v>
      </c>
      <c r="P28" s="25">
        <f t="shared" si="2"/>
        <v>6.0210787875257703E-3</v>
      </c>
      <c r="Q28" s="62">
        <f t="shared" si="3"/>
        <v>9.5946714280052189E-3</v>
      </c>
      <c r="R28" s="25">
        <f t="shared" si="4"/>
        <v>9.79133458933488E-3</v>
      </c>
    </row>
    <row r="29" spans="1:20">
      <c r="B29" s="3" t="s">
        <v>36</v>
      </c>
      <c r="C29" s="26">
        <f>1976970+3</f>
        <v>1976973</v>
      </c>
      <c r="D29" s="27"/>
      <c r="E29" s="17">
        <f>2312139-1</f>
        <v>2312138</v>
      </c>
      <c r="G29" s="17">
        <v>1995780</v>
      </c>
      <c r="H29" s="27"/>
      <c r="I29" s="26">
        <f t="shared" si="5"/>
        <v>2394936</v>
      </c>
      <c r="J29" s="28"/>
      <c r="K29" s="17">
        <f>SUM('[1]Department Detail'!BB36:BB49)</f>
        <v>2527952.4229700002</v>
      </c>
      <c r="M29" s="23">
        <f t="shared" si="0"/>
        <v>133016.42297000019</v>
      </c>
      <c r="N29" s="24">
        <f t="shared" si="1"/>
        <v>5.5540700448780338E-2</v>
      </c>
      <c r="P29" s="25">
        <f t="shared" si="2"/>
        <v>6.1202254563003794E-2</v>
      </c>
      <c r="Q29" s="62">
        <f t="shared" si="3"/>
        <v>9.7526630012170587E-2</v>
      </c>
      <c r="R29" s="25">
        <f t="shared" si="4"/>
        <v>9.9525645352710412E-2</v>
      </c>
    </row>
    <row r="30" spans="1:20">
      <c r="B30" s="3" t="s">
        <v>37</v>
      </c>
      <c r="C30" s="26">
        <v>300028</v>
      </c>
      <c r="D30" s="27"/>
      <c r="E30" s="17">
        <v>332522</v>
      </c>
      <c r="G30" s="17">
        <v>289091</v>
      </c>
      <c r="H30" s="27"/>
      <c r="I30" s="26">
        <f t="shared" si="5"/>
        <v>346909.19999999995</v>
      </c>
      <c r="J30" s="28"/>
      <c r="K30" s="17">
        <f>SUM('[1]Department Detail'!BB50:BB55,'[1]Department Detail'!BB63,'[1]Department Detail'!BB71)</f>
        <v>453423.43518666673</v>
      </c>
      <c r="M30" s="23">
        <f t="shared" si="0"/>
        <v>106514.23518666677</v>
      </c>
      <c r="N30" s="24">
        <f t="shared" si="1"/>
        <v>0.30703779313626389</v>
      </c>
      <c r="P30" s="25">
        <f t="shared" si="2"/>
        <v>1.0977475783552494E-2</v>
      </c>
      <c r="Q30" s="62">
        <f t="shared" si="3"/>
        <v>1.7492757854336502E-2</v>
      </c>
      <c r="R30" s="25">
        <f t="shared" si="4"/>
        <v>1.7851309065372946E-2</v>
      </c>
    </row>
    <row r="31" spans="1:20">
      <c r="B31" s="3" t="s">
        <v>38</v>
      </c>
      <c r="C31" s="26">
        <v>1898918</v>
      </c>
      <c r="D31" s="27"/>
      <c r="E31" s="17">
        <f>1833206+284358+26736+420000</f>
        <v>2564300</v>
      </c>
      <c r="G31" s="17">
        <v>2013665</v>
      </c>
      <c r="H31" s="27"/>
      <c r="I31" s="26">
        <f t="shared" si="5"/>
        <v>2416398</v>
      </c>
      <c r="J31" s="28"/>
      <c r="K31" s="17">
        <f>SUM('[1]Department Detail'!BB56:BB62)</f>
        <v>2100642.7883799998</v>
      </c>
      <c r="M31" s="23">
        <f t="shared" si="0"/>
        <v>-315755.21162000019</v>
      </c>
      <c r="N31" s="24">
        <f t="shared" si="1"/>
        <v>-0.13067185605185908</v>
      </c>
      <c r="P31" s="25">
        <f t="shared" si="2"/>
        <v>5.0856999329649391E-2</v>
      </c>
      <c r="Q31" s="62">
        <f t="shared" si="3"/>
        <v>8.1041324254583033E-2</v>
      </c>
      <c r="R31" s="25">
        <f t="shared" si="4"/>
        <v>8.2702438253727223E-2</v>
      </c>
    </row>
    <row r="32" spans="1:20">
      <c r="B32" s="3" t="s">
        <v>39</v>
      </c>
      <c r="C32" s="26">
        <v>246798</v>
      </c>
      <c r="D32" s="27"/>
      <c r="E32" s="17">
        <v>292632</v>
      </c>
      <c r="G32" s="17">
        <v>228396</v>
      </c>
      <c r="H32" s="27"/>
      <c r="I32" s="26">
        <f t="shared" si="5"/>
        <v>274075.19999999995</v>
      </c>
      <c r="J32" s="28"/>
      <c r="K32" s="17">
        <f>SUM('[1]Department Detail'!BB30)</f>
        <v>278000</v>
      </c>
      <c r="M32" s="23">
        <f t="shared" si="0"/>
        <v>3924.8000000000466</v>
      </c>
      <c r="N32" s="24">
        <f t="shared" si="1"/>
        <v>1.4320157387461716E-2</v>
      </c>
      <c r="P32" s="25">
        <f t="shared" si="2"/>
        <v>6.7304378887501582E-3</v>
      </c>
      <c r="Q32" s="62">
        <f t="shared" si="3"/>
        <v>1.0725044861220149E-2</v>
      </c>
      <c r="R32" s="25">
        <f t="shared" si="4"/>
        <v>1.0944877425955355E-2</v>
      </c>
    </row>
    <row r="33" spans="1:18">
      <c r="B33" s="3" t="s">
        <v>40</v>
      </c>
      <c r="C33" s="26">
        <v>963739</v>
      </c>
      <c r="D33" s="27"/>
      <c r="E33" s="17">
        <v>1013858</v>
      </c>
      <c r="G33" s="17">
        <v>916670</v>
      </c>
      <c r="H33" s="27"/>
      <c r="I33" s="26">
        <f t="shared" si="5"/>
        <v>1100004</v>
      </c>
      <c r="J33" s="28"/>
      <c r="K33" s="17">
        <f>'[1]Department Detail'!BB29</f>
        <v>1445086.8042968255</v>
      </c>
      <c r="M33" s="23">
        <f t="shared" si="0"/>
        <v>345082.80429682555</v>
      </c>
      <c r="N33" s="24">
        <f t="shared" si="1"/>
        <v>0.31371049950438867</v>
      </c>
      <c r="P33" s="25">
        <f t="shared" si="2"/>
        <v>3.4985852446662732E-2</v>
      </c>
      <c r="Q33" s="62">
        <f t="shared" si="3"/>
        <v>5.5750434548347896E-2</v>
      </c>
      <c r="R33" s="25">
        <f t="shared" si="4"/>
        <v>5.6893158067965063E-2</v>
      </c>
    </row>
    <row r="34" spans="1:18">
      <c r="B34" s="3" t="s">
        <v>41</v>
      </c>
      <c r="C34" s="26">
        <v>291031</v>
      </c>
      <c r="D34" s="27"/>
      <c r="E34" s="17">
        <v>297120</v>
      </c>
      <c r="G34" s="17">
        <v>248233</v>
      </c>
      <c r="H34" s="27"/>
      <c r="I34" s="26">
        <f t="shared" si="5"/>
        <v>297879.59999999998</v>
      </c>
      <c r="J34" s="28"/>
      <c r="K34" s="17">
        <f>'[1]Department Detail'!BB73</f>
        <v>276920.31855629222</v>
      </c>
      <c r="M34" s="23">
        <f t="shared" si="0"/>
        <v>-20959.281443707761</v>
      </c>
      <c r="N34" s="24">
        <f t="shared" si="1"/>
        <v>-7.036158717719429E-2</v>
      </c>
      <c r="P34" s="25">
        <f t="shared" si="2"/>
        <v>6.7042985761727788E-3</v>
      </c>
      <c r="Q34" s="62">
        <f t="shared" si="3"/>
        <v>1.0683391508991398E-2</v>
      </c>
      <c r="R34" s="25">
        <f t="shared" si="4"/>
        <v>1.0902370299838591E-2</v>
      </c>
    </row>
    <row r="35" spans="1:18">
      <c r="B35" s="3" t="s">
        <v>42</v>
      </c>
      <c r="C35" s="34">
        <v>596144</v>
      </c>
      <c r="D35" s="27"/>
      <c r="E35" s="38">
        <v>708233</v>
      </c>
      <c r="F35" s="18"/>
      <c r="G35" s="38">
        <v>486159</v>
      </c>
      <c r="H35" s="27"/>
      <c r="I35" s="34">
        <f t="shared" si="5"/>
        <v>583390.80000000005</v>
      </c>
      <c r="J35" s="28"/>
      <c r="K35" s="38">
        <f>SUM('[1]Department Detail'!BB64:BB70,'[1]Department Detail'!BB72)</f>
        <v>999394.47900000005</v>
      </c>
      <c r="M35" s="39">
        <f t="shared" si="0"/>
        <v>416003.679</v>
      </c>
      <c r="N35" s="40">
        <f t="shared" si="1"/>
        <v>0.7130789155399776</v>
      </c>
      <c r="P35" s="41">
        <f t="shared" si="2"/>
        <v>2.4195548443414837E-2</v>
      </c>
      <c r="Q35" s="41">
        <f t="shared" si="3"/>
        <v>3.8555937486801216E-2</v>
      </c>
      <c r="R35" s="41">
        <f t="shared" si="4"/>
        <v>3.9346223283566593E-2</v>
      </c>
    </row>
    <row r="36" spans="1:18">
      <c r="E36" s="42"/>
      <c r="F36" s="42"/>
      <c r="G36" s="42"/>
      <c r="K36" s="17"/>
      <c r="M36" s="23"/>
      <c r="N36" s="24"/>
      <c r="P36" s="25"/>
      <c r="Q36" s="62"/>
      <c r="R36" s="25"/>
    </row>
    <row r="37" spans="1:18">
      <c r="A37" s="3" t="s">
        <v>43</v>
      </c>
      <c r="C37" s="19">
        <f>SUM(C26:C35)</f>
        <v>17764683</v>
      </c>
      <c r="D37" s="20"/>
      <c r="E37" s="19">
        <f>SUM(E26:E35)</f>
        <v>19890794</v>
      </c>
      <c r="F37" s="19"/>
      <c r="G37" s="19">
        <f>SUM(G26:G35)</f>
        <v>18139503</v>
      </c>
      <c r="H37" s="20"/>
      <c r="I37" s="19">
        <f>SUM(I26:I35)</f>
        <v>21767403.600000001</v>
      </c>
      <c r="K37" s="19">
        <f>SUM(K26:K35)</f>
        <v>25400010.359251145</v>
      </c>
      <c r="M37" s="23">
        <f t="shared" si="0"/>
        <v>3632606.7592511438</v>
      </c>
      <c r="N37" s="24">
        <f t="shared" si="1"/>
        <v>0.1668828688071527</v>
      </c>
      <c r="P37" s="62">
        <f t="shared" si="2"/>
        <v>0.61493953991564898</v>
      </c>
      <c r="Q37" s="62">
        <f t="shared" si="3"/>
        <v>0.9799145704259894</v>
      </c>
      <c r="R37" s="62">
        <f t="shared" si="4"/>
        <v>1</v>
      </c>
    </row>
    <row r="38" spans="1:18" ht="5.25" customHeight="1">
      <c r="E38" s="42"/>
      <c r="F38" s="42"/>
      <c r="G38" s="42"/>
      <c r="K38" s="17"/>
      <c r="M38" s="23"/>
      <c r="N38" s="24"/>
      <c r="P38" s="25"/>
      <c r="Q38" s="62"/>
    </row>
    <row r="39" spans="1:18" s="49" customFormat="1">
      <c r="A39" s="49" t="s">
        <v>44</v>
      </c>
      <c r="C39" s="70">
        <f>SUM(C23-C37)</f>
        <v>133190</v>
      </c>
      <c r="D39" s="71"/>
      <c r="E39" s="70">
        <f>SUM(E23-E37)</f>
        <v>-634083</v>
      </c>
      <c r="F39" s="72"/>
      <c r="G39" s="70">
        <f>SUM(G23-G37)</f>
        <v>-377141</v>
      </c>
      <c r="H39" s="71"/>
      <c r="I39" s="70">
        <f>SUM(I23-I37)</f>
        <v>-524306.43760000542</v>
      </c>
      <c r="K39" s="70">
        <f>SUM(K23-K37)</f>
        <v>520627.13898426667</v>
      </c>
      <c r="M39" s="73">
        <f t="shared" si="0"/>
        <v>1044933.5765842721</v>
      </c>
      <c r="N39" s="44">
        <f>-M39/I39</f>
        <v>1.9929825415980382</v>
      </c>
      <c r="P39" s="74">
        <f t="shared" si="2"/>
        <v>1.2604491446515478E-2</v>
      </c>
      <c r="Q39" s="75">
        <f t="shared" si="3"/>
        <v>2.0085429574010639E-2</v>
      </c>
    </row>
    <row r="40" spans="1:18" ht="6" customHeight="1">
      <c r="E40" s="42"/>
      <c r="F40" s="42"/>
      <c r="G40" s="42"/>
      <c r="K40" s="17"/>
      <c r="M40" s="23"/>
      <c r="N40" s="24"/>
      <c r="P40" s="25"/>
      <c r="Q40" s="62"/>
    </row>
    <row r="41" spans="1:18">
      <c r="A41" s="16" t="s">
        <v>45</v>
      </c>
      <c r="E41" s="42"/>
      <c r="F41" s="42"/>
      <c r="G41" s="42"/>
      <c r="K41" s="17"/>
      <c r="M41" s="23"/>
      <c r="N41" s="24"/>
      <c r="P41" s="25"/>
      <c r="Q41" s="62"/>
    </row>
    <row r="42" spans="1:18">
      <c r="B42" s="3" t="s">
        <v>46</v>
      </c>
      <c r="C42" s="19">
        <v>129996</v>
      </c>
      <c r="D42" s="27"/>
      <c r="E42" s="28">
        <v>128880</v>
      </c>
      <c r="F42" s="28"/>
      <c r="G42" s="28">
        <v>108295</v>
      </c>
      <c r="H42" s="27"/>
      <c r="I42" s="19">
        <v>130000</v>
      </c>
      <c r="K42" s="17">
        <f>'[1]Department Detail'!BB80</f>
        <v>130000</v>
      </c>
      <c r="M42" s="23">
        <f t="shared" si="0"/>
        <v>0</v>
      </c>
      <c r="N42" s="24">
        <f t="shared" si="1"/>
        <v>0</v>
      </c>
      <c r="P42" s="25">
        <f t="shared" si="2"/>
        <v>3.147327070278851E-3</v>
      </c>
      <c r="Q42" s="62">
        <f t="shared" si="3"/>
        <v>5.0153087480525873E-3</v>
      </c>
    </row>
    <row r="43" spans="1:18">
      <c r="B43" s="3" t="s">
        <v>47</v>
      </c>
      <c r="C43" s="26">
        <v>233593</v>
      </c>
      <c r="D43" s="27"/>
      <c r="E43" s="17">
        <v>268199</v>
      </c>
      <c r="G43" s="17">
        <v>229170</v>
      </c>
      <c r="H43" s="27"/>
      <c r="I43" s="26">
        <v>275000</v>
      </c>
      <c r="K43" s="17">
        <f>'[1]Department Detail'!BB81</f>
        <v>280000</v>
      </c>
      <c r="M43" s="23">
        <f t="shared" si="0"/>
        <v>5000</v>
      </c>
      <c r="N43" s="24">
        <f t="shared" si="1"/>
        <v>1.8181818181818181E-2</v>
      </c>
      <c r="P43" s="25">
        <f t="shared" si="2"/>
        <v>6.7788583052159866E-3</v>
      </c>
      <c r="Q43" s="62">
        <f t="shared" si="3"/>
        <v>1.0802203457344034E-2</v>
      </c>
    </row>
    <row r="44" spans="1:18">
      <c r="B44" s="3" t="s">
        <v>48</v>
      </c>
      <c r="C44" s="26">
        <v>187099</v>
      </c>
      <c r="D44" s="27"/>
      <c r="E44" s="17">
        <v>245215</v>
      </c>
      <c r="G44" s="17">
        <v>213996</v>
      </c>
      <c r="H44" s="27"/>
      <c r="I44" s="26">
        <f>(G44/9)*12</f>
        <v>285328</v>
      </c>
      <c r="K44" s="17">
        <f>'[1]Department Detail'!BB82</f>
        <v>200000</v>
      </c>
      <c r="M44" s="23">
        <f t="shared" si="0"/>
        <v>-85328</v>
      </c>
      <c r="N44" s="24">
        <f t="shared" si="1"/>
        <v>-0.2990523187349296</v>
      </c>
      <c r="P44" s="25">
        <f t="shared" si="2"/>
        <v>4.8420416465828472E-3</v>
      </c>
      <c r="Q44" s="62">
        <f t="shared" si="3"/>
        <v>7.7158596123885967E-3</v>
      </c>
    </row>
    <row r="45" spans="1:18" ht="4.5" customHeight="1">
      <c r="E45" s="42"/>
      <c r="F45" s="42"/>
      <c r="G45" s="42"/>
      <c r="K45" s="17"/>
      <c r="M45" s="23"/>
      <c r="N45" s="24"/>
      <c r="P45" s="25"/>
      <c r="Q45" s="62"/>
    </row>
    <row r="46" spans="1:18" s="49" customFormat="1" ht="13.5" thickBot="1">
      <c r="A46" s="49" t="s">
        <v>49</v>
      </c>
      <c r="C46" s="76">
        <f>SUM(C39:C44)</f>
        <v>683878</v>
      </c>
      <c r="D46" s="71"/>
      <c r="E46" s="76">
        <f>SUM(E39:E44)</f>
        <v>8211</v>
      </c>
      <c r="F46" s="71"/>
      <c r="G46" s="76">
        <f>SUM(G39:G44)</f>
        <v>174320</v>
      </c>
      <c r="H46" s="71"/>
      <c r="I46" s="76">
        <f>SUM(I39:I44)</f>
        <v>166021.56239999458</v>
      </c>
      <c r="K46" s="76">
        <f>SUM(K39:K44)</f>
        <v>1130627.1389842667</v>
      </c>
      <c r="M46" s="77">
        <f t="shared" si="0"/>
        <v>964605.57658427209</v>
      </c>
      <c r="N46" s="78">
        <f>M46/I46</f>
        <v>5.8101222674935116</v>
      </c>
      <c r="P46" s="79">
        <f t="shared" si="2"/>
        <v>2.7372718468593162E-2</v>
      </c>
      <c r="Q46" s="79">
        <f t="shared" si="3"/>
        <v>4.3618801391795858E-2</v>
      </c>
    </row>
    <row r="47" spans="1:18" ht="13.5" thickTop="1">
      <c r="A47" s="49"/>
      <c r="C47" s="20"/>
      <c r="D47" s="20"/>
      <c r="E47" s="20"/>
      <c r="F47" s="20"/>
      <c r="G47" s="20"/>
      <c r="H47" s="20"/>
      <c r="I47" s="20"/>
      <c r="K47" s="20"/>
      <c r="M47" s="58"/>
      <c r="N47" s="59"/>
      <c r="P47" s="62"/>
      <c r="Q47" s="62"/>
    </row>
    <row r="48" spans="1:18">
      <c r="A48" s="49"/>
      <c r="C48" s="20"/>
      <c r="D48" s="20"/>
      <c r="E48" s="20"/>
      <c r="F48" s="20"/>
      <c r="G48" s="20"/>
      <c r="H48" s="20"/>
      <c r="I48" s="80" t="s">
        <v>50</v>
      </c>
      <c r="K48" s="81">
        <f>K39/K23</f>
        <v>2.0085429574010639E-2</v>
      </c>
      <c r="M48" s="58"/>
      <c r="N48" s="59"/>
      <c r="P48" s="62"/>
      <c r="Q48" s="62"/>
    </row>
    <row r="49" spans="1:17">
      <c r="A49" s="49"/>
      <c r="C49" s="20"/>
      <c r="D49" s="20"/>
      <c r="E49" s="20"/>
      <c r="F49" s="20"/>
      <c r="G49" s="20"/>
      <c r="H49" s="20"/>
      <c r="I49" s="20"/>
      <c r="K49" s="20"/>
      <c r="M49" s="58"/>
      <c r="N49" s="59"/>
      <c r="P49" s="62"/>
      <c r="Q49" s="62"/>
    </row>
    <row r="50" spans="1:17">
      <c r="A50" s="49"/>
      <c r="C50" s="20"/>
      <c r="D50" s="20"/>
      <c r="E50" s="20"/>
      <c r="F50" s="20"/>
      <c r="G50" s="20"/>
      <c r="H50" s="20"/>
      <c r="I50" s="80" t="s">
        <v>51</v>
      </c>
      <c r="K50" s="81">
        <f>K46/K23</f>
        <v>4.3618801391795858E-2</v>
      </c>
      <c r="M50" s="58"/>
      <c r="N50" s="59"/>
      <c r="P50" s="62"/>
      <c r="Q50" s="62"/>
    </row>
  </sheetData>
  <mergeCells count="1">
    <mergeCell ref="M4:N4"/>
  </mergeCells>
  <phoneticPr fontId="0" type="noConversion"/>
  <printOptions horizontalCentered="1"/>
  <pageMargins left="0.25" right="0.25" top="1" bottom="0.62" header="0.37" footer="0.17"/>
  <pageSetup orientation="landscape" r:id="rId1"/>
  <headerFooter alignWithMargins="0">
    <oddHeader>&amp;C&amp;"Times New Roman,Bold"&amp;11
PROPOSED OPERATING BUDGET
FYE 2009</oddHeader>
    <oddFooter xml:space="preserve">&amp;C&amp;"Times New Roman,Regular"Page &amp;P of &amp;N&amp;R&amp;"Times New Roman,Regular"&amp;A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173"/>
  <sheetViews>
    <sheetView workbookViewId="0">
      <pane xSplit="3" ySplit="2" topLeftCell="E3" activePane="bottomRight" state="frozen"/>
      <selection pane="topRight" activeCell="C1" sqref="C1"/>
      <selection pane="bottomLeft" activeCell="A2" sqref="A2"/>
      <selection pane="bottomRight" activeCell="A10" sqref="A10"/>
    </sheetView>
  </sheetViews>
  <sheetFormatPr defaultRowHeight="12.75"/>
  <cols>
    <col min="1" max="1" width="3.42578125" style="3" customWidth="1"/>
    <col min="2" max="2" width="4.5703125" style="3" customWidth="1"/>
    <col min="3" max="3" width="26.28515625" style="3" customWidth="1"/>
    <col min="4" max="4" width="13.7109375" style="3" hidden="1" customWidth="1"/>
    <col min="5" max="5" width="10.28515625" style="3" bestFit="1" customWidth="1"/>
    <col min="6" max="7" width="13.7109375" style="3" hidden="1" customWidth="1"/>
    <col min="8" max="8" width="10.85546875" style="3" hidden="1" customWidth="1"/>
    <col min="9" max="10" width="13.7109375" style="3" hidden="1" customWidth="1"/>
    <col min="11" max="11" width="10" style="3" bestFit="1" customWidth="1"/>
    <col min="12" max="12" width="13.7109375" style="86" hidden="1" customWidth="1"/>
    <col min="13" max="13" width="10" style="3" bestFit="1" customWidth="1"/>
    <col min="14" max="14" width="10.7109375" style="3" hidden="1" customWidth="1"/>
    <col min="15" max="15" width="10" style="3" bestFit="1" customWidth="1"/>
    <col min="16" max="16" width="13.140625" style="3" hidden="1" customWidth="1"/>
    <col min="17" max="17" width="10.85546875" style="3" hidden="1" customWidth="1"/>
    <col min="18" max="18" width="12" style="3" hidden="1" customWidth="1"/>
    <col min="19" max="19" width="10.7109375" style="3" hidden="1" customWidth="1"/>
    <col min="20" max="21" width="13.7109375" style="3" hidden="1" customWidth="1"/>
    <col min="22" max="22" width="10" style="3" bestFit="1" customWidth="1"/>
    <col min="23" max="25" width="10.7109375" style="3" hidden="1" customWidth="1"/>
    <col min="26" max="26" width="16.140625" style="3" hidden="1" customWidth="1"/>
    <col min="27" max="27" width="13.28515625" style="3" hidden="1" customWidth="1"/>
    <col min="28" max="28" width="10.7109375" style="3" hidden="1" customWidth="1"/>
    <col min="29" max="29" width="13.140625" style="87" hidden="1" customWidth="1"/>
    <col min="30" max="30" width="13.85546875" style="3" hidden="1" customWidth="1"/>
    <col min="31" max="31" width="19.85546875" style="3" hidden="1" customWidth="1"/>
    <col min="32" max="32" width="15.140625" style="3" hidden="1" customWidth="1"/>
    <col min="33" max="33" width="15.42578125" style="3" hidden="1" customWidth="1"/>
    <col min="34" max="34" width="11.7109375" style="3" hidden="1" customWidth="1"/>
    <col min="35" max="35" width="12.42578125" style="86" hidden="1" customWidth="1"/>
    <col min="36" max="36" width="15.85546875" style="3" hidden="1" customWidth="1"/>
    <col min="37" max="37" width="11.7109375" style="3" hidden="1" customWidth="1"/>
    <col min="38" max="38" width="10.7109375" style="86" hidden="1" customWidth="1"/>
    <col min="39" max="39" width="16.140625" style="3" hidden="1" customWidth="1"/>
    <col min="40" max="41" width="10.7109375" style="3" hidden="1" customWidth="1"/>
    <col min="42" max="42" width="24.5703125" style="3" hidden="1" customWidth="1"/>
    <col min="43" max="43" width="16" style="3" hidden="1" customWidth="1"/>
    <col min="44" max="44" width="10" style="3" bestFit="1" customWidth="1"/>
    <col min="45" max="45" width="10.7109375" style="3" hidden="1" customWidth="1"/>
    <col min="46" max="46" width="11.140625" style="3" hidden="1" customWidth="1"/>
    <col min="47" max="47" width="8.5703125" style="3" bestFit="1" customWidth="1"/>
    <col min="48" max="50" width="10.7109375" style="3" hidden="1" customWidth="1"/>
    <col min="51" max="51" width="20.85546875" style="3" hidden="1" customWidth="1"/>
    <col min="52" max="52" width="16.85546875" style="86" hidden="1" customWidth="1"/>
    <col min="53" max="53" width="20.28515625" style="3" hidden="1" customWidth="1"/>
    <col min="54" max="54" width="11" style="88" bestFit="1" customWidth="1"/>
    <col min="55" max="55" width="20.85546875" style="3" hidden="1" customWidth="1"/>
    <col min="56" max="56" width="24.28515625" style="3" hidden="1" customWidth="1"/>
    <col min="57" max="57" width="11.140625" style="3" hidden="1" customWidth="1"/>
    <col min="58" max="58" width="0" style="3" hidden="1" customWidth="1"/>
    <col min="59" max="16384" width="9.140625" style="3"/>
  </cols>
  <sheetData>
    <row r="1" spans="1:59" s="4" customFormat="1">
      <c r="D1" s="4" t="s">
        <v>52</v>
      </c>
      <c r="E1" s="4" t="s">
        <v>53</v>
      </c>
      <c r="F1" s="4" t="s">
        <v>54</v>
      </c>
      <c r="G1" s="4" t="s">
        <v>55</v>
      </c>
      <c r="H1" s="4" t="s">
        <v>56</v>
      </c>
      <c r="I1" s="4" t="s">
        <v>57</v>
      </c>
      <c r="J1" s="4" t="s">
        <v>58</v>
      </c>
      <c r="K1" s="4" t="s">
        <v>59</v>
      </c>
      <c r="L1" s="82" t="s">
        <v>60</v>
      </c>
      <c r="M1" s="4" t="s">
        <v>61</v>
      </c>
      <c r="N1" s="4" t="s">
        <v>62</v>
      </c>
      <c r="O1" s="4" t="s">
        <v>63</v>
      </c>
      <c r="P1" s="4" t="s">
        <v>64</v>
      </c>
      <c r="Q1" s="4" t="s">
        <v>65</v>
      </c>
      <c r="R1" s="4" t="s">
        <v>66</v>
      </c>
      <c r="S1" s="4" t="s">
        <v>67</v>
      </c>
      <c r="T1" s="4" t="s">
        <v>68</v>
      </c>
      <c r="U1" s="4" t="s">
        <v>69</v>
      </c>
      <c r="V1" s="4" t="s">
        <v>70</v>
      </c>
      <c r="W1" s="4" t="s">
        <v>71</v>
      </c>
      <c r="X1" s="4" t="s">
        <v>72</v>
      </c>
      <c r="Y1" s="4" t="s">
        <v>73</v>
      </c>
      <c r="Z1" s="4" t="s">
        <v>74</v>
      </c>
      <c r="AA1" s="4" t="s">
        <v>75</v>
      </c>
      <c r="AB1" s="4" t="s">
        <v>76</v>
      </c>
      <c r="AC1" s="83" t="s">
        <v>77</v>
      </c>
      <c r="AD1" s="4" t="s">
        <v>78</v>
      </c>
      <c r="AE1" s="4" t="s">
        <v>79</v>
      </c>
      <c r="AF1" s="4" t="s">
        <v>80</v>
      </c>
      <c r="AG1" s="4" t="s">
        <v>81</v>
      </c>
      <c r="AH1" s="4" t="s">
        <v>82</v>
      </c>
      <c r="AI1" s="82" t="s">
        <v>83</v>
      </c>
      <c r="AJ1" s="4" t="s">
        <v>84</v>
      </c>
      <c r="AK1" s="4" t="s">
        <v>85</v>
      </c>
      <c r="AL1" s="82" t="s">
        <v>86</v>
      </c>
      <c r="AM1" s="4" t="s">
        <v>87</v>
      </c>
      <c r="AN1" s="4" t="s">
        <v>88</v>
      </c>
      <c r="AO1" s="4" t="s">
        <v>89</v>
      </c>
      <c r="AP1" s="4" t="s">
        <v>90</v>
      </c>
      <c r="AQ1" s="4" t="s">
        <v>91</v>
      </c>
      <c r="AR1" s="4" t="s">
        <v>92</v>
      </c>
      <c r="AS1" s="4" t="s">
        <v>93</v>
      </c>
      <c r="AT1" s="4" t="s">
        <v>94</v>
      </c>
      <c r="AU1" s="4" t="s">
        <v>174</v>
      </c>
      <c r="AV1" s="4" t="s">
        <v>95</v>
      </c>
      <c r="AW1" s="4" t="s">
        <v>96</v>
      </c>
      <c r="AX1" s="4" t="s">
        <v>97</v>
      </c>
      <c r="AY1" s="4" t="s">
        <v>98</v>
      </c>
      <c r="AZ1" s="82" t="s">
        <v>99</v>
      </c>
      <c r="BA1" s="4" t="s">
        <v>100</v>
      </c>
      <c r="BB1" s="84" t="s">
        <v>101</v>
      </c>
    </row>
    <row r="2" spans="1:59" s="4" customFormat="1">
      <c r="D2" s="4">
        <v>610</v>
      </c>
      <c r="E2" s="4">
        <v>612</v>
      </c>
      <c r="F2" s="4">
        <v>614</v>
      </c>
      <c r="G2" s="4">
        <v>616</v>
      </c>
      <c r="H2" s="4">
        <v>619</v>
      </c>
      <c r="I2" s="4">
        <v>622</v>
      </c>
      <c r="J2" s="4">
        <v>628</v>
      </c>
      <c r="K2" s="4">
        <v>632</v>
      </c>
      <c r="L2" s="82">
        <v>634</v>
      </c>
      <c r="M2" s="4">
        <v>638</v>
      </c>
      <c r="N2" s="4">
        <v>640</v>
      </c>
      <c r="O2" s="4">
        <v>642</v>
      </c>
      <c r="P2" s="4">
        <v>644</v>
      </c>
      <c r="Q2" s="4">
        <v>645</v>
      </c>
      <c r="R2" s="4">
        <v>646</v>
      </c>
      <c r="S2" s="4">
        <v>647</v>
      </c>
      <c r="T2" s="4">
        <v>648</v>
      </c>
      <c r="U2" s="4">
        <v>649</v>
      </c>
      <c r="V2" s="4">
        <v>650</v>
      </c>
      <c r="W2" s="4">
        <v>652</v>
      </c>
      <c r="X2" s="4">
        <v>653</v>
      </c>
      <c r="Y2" s="4">
        <v>656</v>
      </c>
      <c r="Z2" s="4">
        <v>658</v>
      </c>
      <c r="AA2" s="4">
        <v>660</v>
      </c>
      <c r="AB2" s="4">
        <v>662</v>
      </c>
      <c r="AC2" s="83">
        <v>670</v>
      </c>
      <c r="AD2" s="4">
        <v>671</v>
      </c>
      <c r="AE2" s="4">
        <v>672</v>
      </c>
      <c r="AF2" s="4">
        <v>674</v>
      </c>
      <c r="AG2" s="4">
        <v>676</v>
      </c>
      <c r="AH2" s="4">
        <v>677</v>
      </c>
      <c r="AI2" s="82">
        <v>678</v>
      </c>
      <c r="AJ2" s="4">
        <v>679</v>
      </c>
      <c r="AK2" s="4">
        <v>680</v>
      </c>
      <c r="AL2" s="82">
        <v>681</v>
      </c>
      <c r="AM2" s="4">
        <v>682</v>
      </c>
      <c r="AN2" s="4">
        <v>683</v>
      </c>
      <c r="AO2" s="4">
        <v>684</v>
      </c>
      <c r="AP2" s="4">
        <v>686</v>
      </c>
      <c r="AQ2" s="4">
        <v>687</v>
      </c>
      <c r="AR2" s="4">
        <v>688</v>
      </c>
      <c r="AS2" s="4">
        <v>689</v>
      </c>
      <c r="AT2" s="4">
        <v>690</v>
      </c>
      <c r="AU2" s="4">
        <v>691</v>
      </c>
      <c r="AV2" s="4">
        <v>692</v>
      </c>
      <c r="AW2" s="4">
        <v>693</v>
      </c>
      <c r="AX2" s="4">
        <v>694</v>
      </c>
      <c r="AY2" s="4">
        <v>695</v>
      </c>
      <c r="AZ2" s="82">
        <v>696</v>
      </c>
      <c r="BA2" s="4">
        <v>699</v>
      </c>
      <c r="BB2" s="84"/>
    </row>
    <row r="3" spans="1:59">
      <c r="A3" s="49" t="s">
        <v>102</v>
      </c>
      <c r="D3" s="85"/>
    </row>
    <row r="4" spans="1:59">
      <c r="C4" s="3" t="s">
        <v>103</v>
      </c>
      <c r="D4" s="89">
        <f>[1]Revenue!G9</f>
        <v>50</v>
      </c>
      <c r="E4" s="90">
        <f>[1]Revenue!G10</f>
        <v>2818.8</v>
      </c>
      <c r="F4" s="90">
        <f>[1]Revenue!G11</f>
        <v>555</v>
      </c>
      <c r="G4" s="90">
        <f>[1]Revenue!G12</f>
        <v>449.5393474088292</v>
      </c>
      <c r="H4" s="90">
        <f>[1]Revenue!G13</f>
        <v>5500</v>
      </c>
      <c r="I4" s="90">
        <f>[1]Revenue!G14</f>
        <v>475</v>
      </c>
      <c r="J4" s="3">
        <v>365</v>
      </c>
      <c r="K4" s="90">
        <f>[1]Revenue!G15</f>
        <v>896</v>
      </c>
      <c r="L4" s="91">
        <f>[1]Revenue!G16</f>
        <v>587</v>
      </c>
      <c r="M4" s="90">
        <f>[1]Revenue!G17</f>
        <v>64000</v>
      </c>
      <c r="N4" s="90">
        <f>[1]Revenue!G18</f>
        <v>1710</v>
      </c>
      <c r="O4" s="90">
        <f>[1]Revenue!G19</f>
        <v>12042</v>
      </c>
      <c r="P4" s="90">
        <f>[1]Revenue!G20</f>
        <v>3423.8</v>
      </c>
      <c r="Q4" s="90">
        <f>[1]Revenue!G21</f>
        <v>1800</v>
      </c>
      <c r="R4" s="90">
        <f>[1]Revenue!G22</f>
        <v>21050</v>
      </c>
      <c r="S4" s="90">
        <f>[1]Revenue!G23</f>
        <v>150</v>
      </c>
      <c r="T4" s="90">
        <f>[1]Revenue!G24</f>
        <v>15600</v>
      </c>
      <c r="U4" s="90">
        <f>[1]Revenue!G25</f>
        <v>11170</v>
      </c>
      <c r="V4" s="90">
        <f>[1]Revenue!G26</f>
        <v>11170</v>
      </c>
      <c r="W4" s="3">
        <v>365</v>
      </c>
      <c r="X4" s="3">
        <v>365</v>
      </c>
      <c r="Y4" s="90">
        <f>[1]Revenue!G27</f>
        <v>1450</v>
      </c>
      <c r="Z4" s="90">
        <f>[1]Revenue!G28</f>
        <v>3650</v>
      </c>
      <c r="AA4" s="3">
        <v>365</v>
      </c>
      <c r="AB4" s="3">
        <v>365</v>
      </c>
      <c r="AC4" s="87">
        <v>365</v>
      </c>
      <c r="AD4" s="3">
        <v>365</v>
      </c>
      <c r="AE4" s="3">
        <v>365</v>
      </c>
      <c r="AF4" s="3">
        <v>365</v>
      </c>
      <c r="AG4" s="3">
        <v>365</v>
      </c>
      <c r="AH4" s="3">
        <v>365</v>
      </c>
      <c r="AI4" s="91">
        <f>[1]Revenue!G29</f>
        <v>10970</v>
      </c>
      <c r="AJ4" s="90">
        <f>[1]Revenue!G30</f>
        <v>19000</v>
      </c>
      <c r="AK4" s="90">
        <f>'[1]April 7 - Vol Stats'!O30</f>
        <v>78233.333333333328</v>
      </c>
      <c r="AL4" s="86">
        <v>365</v>
      </c>
      <c r="AM4" s="90">
        <f>'[1]April 7 - Vol Stats'!O31</f>
        <v>199604</v>
      </c>
      <c r="AN4" s="3">
        <v>365</v>
      </c>
      <c r="AO4" s="3">
        <v>365</v>
      </c>
      <c r="AP4" s="3">
        <v>365</v>
      </c>
      <c r="AQ4" s="3">
        <v>365</v>
      </c>
      <c r="AR4" s="3">
        <v>365</v>
      </c>
      <c r="AS4" s="3">
        <v>365</v>
      </c>
      <c r="AT4" s="3">
        <v>365</v>
      </c>
      <c r="AU4" s="3">
        <v>365</v>
      </c>
      <c r="AV4" s="3">
        <v>365</v>
      </c>
      <c r="AW4" s="3">
        <v>365</v>
      </c>
      <c r="AX4" s="3">
        <v>365</v>
      </c>
      <c r="AY4" s="3">
        <v>365</v>
      </c>
      <c r="AZ4" s="86">
        <v>365</v>
      </c>
      <c r="BA4" s="3">
        <v>365</v>
      </c>
    </row>
    <row r="5" spans="1:59">
      <c r="C5" s="3" t="s">
        <v>104</v>
      </c>
      <c r="D5" s="85">
        <f>[2]Departmentals!$H$6</f>
        <v>525</v>
      </c>
      <c r="E5" s="3">
        <f>[3]Departmentals!$H$6</f>
        <v>49546</v>
      </c>
      <c r="F5" s="3">
        <f>[4]Departmentals!$H$6</f>
        <v>13956</v>
      </c>
      <c r="H5" s="3">
        <f>[5]Departmentals!$H$6</f>
        <v>9707.7999999999993</v>
      </c>
      <c r="J5" s="3">
        <f>[6]Departmentals!$H$6</f>
        <v>12272</v>
      </c>
      <c r="K5" s="3">
        <f>[7]Departmentals!$H$7</f>
        <v>12576</v>
      </c>
      <c r="L5" s="86">
        <f>[8]Departmentals!$H$6</f>
        <v>3120</v>
      </c>
      <c r="M5" s="3">
        <f>[9]Departmentals!$H$6</f>
        <v>28604</v>
      </c>
      <c r="N5" s="3">
        <f>[10]Departmentals!$H$6</f>
        <v>850</v>
      </c>
      <c r="O5" s="43">
        <f>[11]Departmentals!$J$6</f>
        <v>20008</v>
      </c>
      <c r="P5" s="3">
        <f>[12]Departmentals!$H$6</f>
        <v>7488</v>
      </c>
      <c r="Q5" s="3">
        <f>[13]Departmentals!$H$6</f>
        <v>2080</v>
      </c>
      <c r="R5" s="3">
        <f>[14]Departmentals!$H$6</f>
        <v>3310</v>
      </c>
      <c r="S5" s="3">
        <f>[15]Departmentals!$H$6</f>
        <v>35</v>
      </c>
      <c r="T5" s="3">
        <f>[16]Departmentals!$H$6</f>
        <v>13312</v>
      </c>
      <c r="U5" s="3">
        <f>[17]Departmentals!$H$6</f>
        <v>8760</v>
      </c>
      <c r="V5" s="3">
        <f>[18]Departmentals!$H$6</f>
        <v>19600</v>
      </c>
      <c r="W5" s="3">
        <f>[19]Departmentals!$H$6</f>
        <v>0</v>
      </c>
      <c r="X5" s="3">
        <f>[20]Departmentals!$H$6</f>
        <v>0</v>
      </c>
      <c r="Y5" s="3">
        <f>[21]Departmentals!$H$6</f>
        <v>7833.2</v>
      </c>
      <c r="Z5" s="3">
        <f>[22]Departmentals!$H$6</f>
        <v>17537</v>
      </c>
      <c r="AA5" s="92">
        <f>[23]Departmentals!$H$6</f>
        <v>2080</v>
      </c>
      <c r="AB5" s="3">
        <f>[24]Departmentals!$H$6</f>
        <v>5416</v>
      </c>
      <c r="AD5" s="92">
        <f>[25]Departmentals!$D$6</f>
        <v>2080</v>
      </c>
      <c r="AE5" s="3">
        <f>[26]Departmentals!$H$6</f>
        <v>0</v>
      </c>
      <c r="AF5" s="3">
        <f>[27]Departmentals!$H$6</f>
        <v>0</v>
      </c>
      <c r="AG5" s="92">
        <f>[28]Departmentals!$H$6</f>
        <v>0</v>
      </c>
      <c r="AH5" s="92">
        <f>[29]Departmentals!$H$6</f>
        <v>15020</v>
      </c>
      <c r="AI5" s="86">
        <f>'[30]New 678'!$H$6</f>
        <v>23990</v>
      </c>
      <c r="AJ5" s="92">
        <f>[31]Departmentals!$H$6</f>
        <v>31683.040778312439</v>
      </c>
      <c r="AK5" s="92">
        <f>[32]Departmentals!$H$6</f>
        <v>29536</v>
      </c>
      <c r="AM5" s="92">
        <f>[33]Departmentals!$H$6</f>
        <v>4160</v>
      </c>
      <c r="AN5" s="92">
        <f>[34]Departmentals!$H$6</f>
        <v>27786</v>
      </c>
      <c r="AO5" s="92">
        <f>[35]Departmentals!$H$6</f>
        <v>0</v>
      </c>
      <c r="AP5" s="92">
        <f>'[36]Departmentals 86'!$H$6</f>
        <v>6640</v>
      </c>
      <c r="AQ5" s="3">
        <f>[37]Departmentals!$H$6</f>
        <v>6240</v>
      </c>
      <c r="AR5" s="92">
        <f>[38]Departmentals!$H$6</f>
        <v>4160</v>
      </c>
      <c r="AS5" s="92">
        <f>[39]Departmentals!$H$6</f>
        <v>8320</v>
      </c>
      <c r="AT5" s="92">
        <f>[40]Departmentals!$H$6</f>
        <v>17472</v>
      </c>
      <c r="AU5" s="92">
        <f>[41]Departmentals!$H$6</f>
        <v>19760</v>
      </c>
      <c r="AV5" s="93">
        <f>[42]Departmentals!$H$6</f>
        <v>8320</v>
      </c>
      <c r="AW5" s="92">
        <f>[43]Departmentals!$H$6</f>
        <v>4160</v>
      </c>
      <c r="AX5" s="92">
        <f>[44]Departmentals!$H$6</f>
        <v>13160</v>
      </c>
      <c r="AY5" s="3">
        <f>[45]Departmentals!$H$6</f>
        <v>0</v>
      </c>
      <c r="BB5" s="94">
        <f>SUM(D5:BA5)</f>
        <v>461103.04077831242</v>
      </c>
    </row>
    <row r="6" spans="1:59">
      <c r="C6" s="3" t="s">
        <v>105</v>
      </c>
      <c r="D6" s="3">
        <f>[2]Departmentals!$H$7</f>
        <v>0</v>
      </c>
      <c r="E6" s="3">
        <f>[3]Departmentals!$H$7</f>
        <v>9490</v>
      </c>
      <c r="F6" s="3">
        <f>[4]Departmentals!$H$7</f>
        <v>697.80000000000007</v>
      </c>
      <c r="H6" s="3">
        <f>[5]Departmentals!$H$7</f>
        <v>145</v>
      </c>
      <c r="J6" s="3">
        <f>[6]Departmentals!$H$7</f>
        <v>1752</v>
      </c>
      <c r="K6" s="3">
        <f>[7]Departmentals!$H$8</f>
        <v>1310.4000000000001</v>
      </c>
      <c r="L6" s="86">
        <f>[8]Departmentals!$H$7</f>
        <v>0</v>
      </c>
      <c r="M6" s="3">
        <f>[9]Departmentals!$H$7</f>
        <v>414</v>
      </c>
      <c r="N6" s="3">
        <f>[10]Departmentals!$H$7</f>
        <v>0</v>
      </c>
      <c r="O6" s="43">
        <f>[11]Departmentals!$J$7</f>
        <v>2080</v>
      </c>
      <c r="P6" s="3">
        <f>[12]Departmentals!$H$7</f>
        <v>112</v>
      </c>
      <c r="Q6" s="3">
        <f>[13]Departmentals!$H$7</f>
        <v>0</v>
      </c>
      <c r="R6" s="3">
        <f>[14]Departmentals!$H$7</f>
        <v>508</v>
      </c>
      <c r="S6" s="3">
        <f>[15]Departmentals!$H$7</f>
        <v>0</v>
      </c>
      <c r="T6" s="3">
        <f>[16]Departmentals!$H$7</f>
        <v>0</v>
      </c>
      <c r="U6" s="3">
        <f>[17]Departmentals!$H$7</f>
        <v>0</v>
      </c>
      <c r="V6" s="3">
        <f>[18]Departmentals!$H$7</f>
        <v>3504</v>
      </c>
      <c r="W6" s="3">
        <f>[19]Departmentals!$H$7</f>
        <v>0</v>
      </c>
      <c r="X6" s="3">
        <f>[20]Departmentals!$H$7</f>
        <v>0</v>
      </c>
      <c r="Y6" s="3">
        <f>[21]Departmentals!$H$7</f>
        <v>608.72</v>
      </c>
      <c r="Z6" s="3">
        <f>[22]Departmentals!$H$7</f>
        <v>0</v>
      </c>
      <c r="AA6" s="92">
        <f>[23]Departmentals!$H$7</f>
        <v>0</v>
      </c>
      <c r="AB6" s="3">
        <f>[24]Departmentals!$H$7</f>
        <v>0</v>
      </c>
      <c r="AD6" s="92">
        <f>[25]Departmentals!$D$7</f>
        <v>0</v>
      </c>
      <c r="AE6" s="3">
        <f>[26]Departmentals!$H$7</f>
        <v>0</v>
      </c>
      <c r="AF6" s="3">
        <f>[27]Departmentals!$H$7</f>
        <v>0</v>
      </c>
      <c r="AG6" s="92">
        <f>[28]Departmentals!$H$7</f>
        <v>0</v>
      </c>
      <c r="AH6" s="92">
        <f>[29]Departmentals!$H$7</f>
        <v>0</v>
      </c>
      <c r="AI6" s="86">
        <f>'[30]New 678'!$H$7</f>
        <v>0</v>
      </c>
      <c r="AJ6" s="92">
        <f>[31]Departmentals!$H$7</f>
        <v>1040</v>
      </c>
      <c r="AK6" s="92">
        <f>[32]Departmentals!$H$7</f>
        <v>1394</v>
      </c>
      <c r="AM6" s="92">
        <f>[33]Departmentals!$H$7</f>
        <v>280</v>
      </c>
      <c r="AN6" s="92">
        <f>[34]Departmentals!$H$7</f>
        <v>560</v>
      </c>
      <c r="AO6" s="92">
        <f>[35]Departmentals!$H$7</f>
        <v>0</v>
      </c>
      <c r="AP6" s="92">
        <f>'[36]Departmentals 86'!$H$7</f>
        <v>80</v>
      </c>
      <c r="AQ6" s="3">
        <f>[37]Departmentals!$H$7</f>
        <v>100</v>
      </c>
      <c r="AR6" s="92">
        <f>[38]Departmentals!$H$7</f>
        <v>0</v>
      </c>
      <c r="AS6" s="92">
        <f>[39]Departmentals!$H$7</f>
        <v>160</v>
      </c>
      <c r="AT6" s="92">
        <f>[40]Departmentals!$H$7</f>
        <v>2424</v>
      </c>
      <c r="AU6" s="92">
        <f>[41]Departmentals!$H$7</f>
        <v>120</v>
      </c>
      <c r="AV6" s="93">
        <f>[42]Departmentals!$H$7</f>
        <v>0</v>
      </c>
      <c r="AW6" s="92">
        <f>-[43]Departmentals!$H$7</f>
        <v>0</v>
      </c>
      <c r="AX6" s="92">
        <f>[44]Departmentals!$H$7</f>
        <v>0</v>
      </c>
      <c r="AY6" s="3">
        <f>[45]Departmentals!$H$7</f>
        <v>0</v>
      </c>
      <c r="BB6" s="94">
        <f>SUM(D6:BA6)</f>
        <v>26779.919999999998</v>
      </c>
    </row>
    <row r="7" spans="1:59" ht="6" customHeight="1">
      <c r="O7" s="43"/>
      <c r="AA7" s="92"/>
      <c r="AD7" s="92"/>
      <c r="AG7" s="92"/>
      <c r="AH7" s="92"/>
      <c r="AJ7" s="92"/>
      <c r="AK7" s="92"/>
      <c r="AM7" s="92"/>
      <c r="AN7" s="92"/>
      <c r="AO7" s="92"/>
      <c r="AP7" s="92"/>
      <c r="AR7" s="92"/>
      <c r="AS7" s="92"/>
      <c r="AT7" s="92"/>
      <c r="AU7" s="92"/>
      <c r="AV7" s="92"/>
      <c r="AW7" s="92"/>
      <c r="AX7" s="92"/>
      <c r="BB7" s="95"/>
    </row>
    <row r="8" spans="1:59">
      <c r="A8" s="49" t="s">
        <v>106</v>
      </c>
      <c r="Y8" s="88"/>
    </row>
    <row r="9" spans="1:59">
      <c r="B9" s="3">
        <v>11</v>
      </c>
      <c r="C9" s="85" t="s">
        <v>20</v>
      </c>
      <c r="D9" s="43">
        <f>D14</f>
        <v>184400</v>
      </c>
      <c r="E9" s="23">
        <f>E14*90%</f>
        <v>4048963.0021665227</v>
      </c>
      <c r="F9" s="23">
        <f>F14*92%</f>
        <v>1395211.3494360901</v>
      </c>
      <c r="G9" s="23">
        <f>G14*92%</f>
        <v>211842.47532000084</v>
      </c>
      <c r="H9" s="23">
        <f>H14*16%</f>
        <v>155825.40240133854</v>
      </c>
      <c r="I9" s="23">
        <f>I14</f>
        <v>294025</v>
      </c>
      <c r="J9" s="17"/>
      <c r="K9" s="23"/>
      <c r="L9" s="10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104"/>
      <c r="AD9" s="23"/>
      <c r="AE9" s="23"/>
      <c r="AF9" s="23"/>
      <c r="AG9" s="23"/>
      <c r="AH9" s="23"/>
      <c r="AI9" s="103"/>
      <c r="AJ9" s="23"/>
      <c r="AK9" s="23"/>
      <c r="AL9" s="10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103"/>
      <c r="BA9" s="23">
        <f>7452714-6290267</f>
        <v>1162447</v>
      </c>
      <c r="BB9" s="105">
        <f>SUM(D9:BA9)</f>
        <v>7452714.2293239525</v>
      </c>
      <c r="BC9" s="23" t="b">
        <f>BB9='[1]Income Statement - Summary'!K8</f>
        <v>1</v>
      </c>
      <c r="BD9" s="23"/>
      <c r="BE9" s="23"/>
      <c r="BF9" s="23"/>
      <c r="BG9" s="23"/>
    </row>
    <row r="10" spans="1:59">
      <c r="B10" s="3">
        <v>11</v>
      </c>
      <c r="C10" s="85" t="s">
        <v>21</v>
      </c>
      <c r="D10" s="43"/>
      <c r="E10" s="23"/>
      <c r="F10" s="23"/>
      <c r="G10" s="23"/>
      <c r="H10" s="23"/>
      <c r="I10" s="23"/>
      <c r="J10" s="17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17">
        <f>Z14-Z11</f>
        <v>805721.72762133693</v>
      </c>
      <c r="AA10" s="23"/>
      <c r="AB10" s="23"/>
      <c r="AC10" s="104"/>
      <c r="AD10" s="23"/>
      <c r="AE10" s="23"/>
      <c r="AF10" s="23"/>
      <c r="AG10" s="23"/>
      <c r="AH10" s="23"/>
      <c r="AI10" s="23"/>
      <c r="AJ10" s="23"/>
      <c r="AK10" s="23"/>
      <c r="AL10" s="10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103"/>
      <c r="BA10" s="23">
        <v>0</v>
      </c>
      <c r="BB10" s="105">
        <f>SUM(D10:BA10)</f>
        <v>805721.72762133693</v>
      </c>
      <c r="BC10" s="23" t="b">
        <f>BB10='[1]Income Statement - Summary'!K9</f>
        <v>1</v>
      </c>
      <c r="BD10" s="23"/>
      <c r="BE10" s="23"/>
      <c r="BF10" s="23"/>
      <c r="BG10" s="23"/>
    </row>
    <row r="11" spans="1:59">
      <c r="B11" s="3">
        <v>11</v>
      </c>
      <c r="C11" s="85" t="s">
        <v>22</v>
      </c>
      <c r="D11" s="43"/>
      <c r="E11" s="23"/>
      <c r="F11" s="23"/>
      <c r="G11" s="23"/>
      <c r="H11" s="23"/>
      <c r="I11" s="23"/>
      <c r="J11" s="17"/>
      <c r="K11" s="17">
        <f>K14*49%</f>
        <v>2129117.5249122437</v>
      </c>
      <c r="L11" s="106">
        <f>L14*49%</f>
        <v>560987.76001089322</v>
      </c>
      <c r="M11" s="17">
        <f>M14*27%</f>
        <v>1336037.5108383207</v>
      </c>
      <c r="N11" s="17">
        <f>N14*24%</f>
        <v>83483.050801049874</v>
      </c>
      <c r="O11" s="17">
        <f>O14*12%</f>
        <v>536308.43247156765</v>
      </c>
      <c r="P11" s="17">
        <f>P14*73%</f>
        <v>1565478.0809942402</v>
      </c>
      <c r="Q11" s="17">
        <f>Q14*66%</f>
        <v>114292.17226890755</v>
      </c>
      <c r="R11" s="17">
        <f>R14*83%</f>
        <v>498080.07807262801</v>
      </c>
      <c r="S11" s="17">
        <f>S14*90%</f>
        <v>52313.727272727272</v>
      </c>
      <c r="T11" s="17">
        <f>T14*19%</f>
        <v>196453.92</v>
      </c>
      <c r="U11" s="17">
        <f>U14*7%</f>
        <v>201052.79316844643</v>
      </c>
      <c r="V11" s="17">
        <f>V14*4%</f>
        <v>146814.99117149162</v>
      </c>
      <c r="W11" s="17"/>
      <c r="X11" s="17"/>
      <c r="Y11" s="17">
        <f>Y14*0</f>
        <v>0</v>
      </c>
      <c r="Z11" s="17"/>
      <c r="AA11" s="17"/>
      <c r="AB11" s="17"/>
      <c r="AC11" s="107"/>
      <c r="AD11" s="17"/>
      <c r="AE11" s="17"/>
      <c r="AF11" s="17"/>
      <c r="AG11" s="17"/>
      <c r="AH11" s="17"/>
      <c r="AI11" s="106"/>
      <c r="AJ11" s="17"/>
      <c r="AK11" s="17"/>
      <c r="AL11" s="106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06"/>
      <c r="BA11" s="17">
        <f>8619193-7420420</f>
        <v>1198773</v>
      </c>
      <c r="BB11" s="105">
        <f>SUM(D11:BA11)</f>
        <v>8619193.0419825166</v>
      </c>
      <c r="BC11" s="23" t="b">
        <f>BB11='[1]Income Statement - Summary'!K10</f>
        <v>1</v>
      </c>
      <c r="BD11" s="23"/>
      <c r="BE11" s="23"/>
      <c r="BF11" s="23"/>
      <c r="BG11" s="23"/>
    </row>
    <row r="12" spans="1:59">
      <c r="B12" s="3">
        <v>21</v>
      </c>
      <c r="C12" s="85" t="s">
        <v>23</v>
      </c>
      <c r="D12" s="43"/>
      <c r="E12" s="23">
        <f>E14-E9</f>
        <v>449884.77801850252</v>
      </c>
      <c r="F12" s="23">
        <f>F14-F9</f>
        <v>121322.72603792092</v>
      </c>
      <c r="G12" s="23">
        <f>G14-G9</f>
        <v>18421.084810434841</v>
      </c>
      <c r="H12" s="23">
        <f>H14-H9</f>
        <v>818083.36260702717</v>
      </c>
      <c r="I12" s="23"/>
      <c r="J12" s="17"/>
      <c r="K12" s="17">
        <f t="shared" ref="K12:V12" si="0">K14-K11</f>
        <v>2216020.2810311113</v>
      </c>
      <c r="L12" s="106">
        <f t="shared" si="0"/>
        <v>583885.2196031746</v>
      </c>
      <c r="M12" s="17">
        <f t="shared" si="0"/>
        <v>3612249.5663406448</v>
      </c>
      <c r="N12" s="17">
        <f t="shared" si="0"/>
        <v>264362.9942033246</v>
      </c>
      <c r="O12" s="17">
        <f t="shared" si="0"/>
        <v>3932928.5047914963</v>
      </c>
      <c r="P12" s="17">
        <f t="shared" si="0"/>
        <v>579012.44091567793</v>
      </c>
      <c r="Q12" s="17">
        <f t="shared" si="0"/>
        <v>58877.785714285696</v>
      </c>
      <c r="R12" s="17">
        <f t="shared" si="0"/>
        <v>102016.4015329479</v>
      </c>
      <c r="S12" s="17">
        <f t="shared" si="0"/>
        <v>5812.6363636363603</v>
      </c>
      <c r="T12" s="17">
        <f t="shared" si="0"/>
        <v>837514.08</v>
      </c>
      <c r="U12" s="17">
        <f t="shared" si="0"/>
        <v>2671129.966380788</v>
      </c>
      <c r="V12" s="17">
        <f t="shared" si="0"/>
        <v>3523559.788115799</v>
      </c>
      <c r="W12" s="17"/>
      <c r="X12" s="17"/>
      <c r="Y12" s="17">
        <f>Y14-Y11</f>
        <v>501396.97273257066</v>
      </c>
      <c r="Z12" s="23"/>
      <c r="AA12" s="17"/>
      <c r="AB12" s="17"/>
      <c r="AC12" s="107"/>
      <c r="AD12" s="17"/>
      <c r="AE12" s="17"/>
      <c r="AF12" s="17"/>
      <c r="AG12" s="17"/>
      <c r="AH12" s="17"/>
      <c r="AI12" s="106">
        <f>AI14</f>
        <v>1513564</v>
      </c>
      <c r="AJ12" s="23"/>
      <c r="AK12" s="17"/>
      <c r="AL12" s="106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06"/>
      <c r="BA12" s="17">
        <f>23081468-21810043</f>
        <v>1271425</v>
      </c>
      <c r="BB12" s="105">
        <f>SUM(D12:BA12)</f>
        <v>23081467.589199342</v>
      </c>
      <c r="BC12" s="23" t="b">
        <f>BB12='[1]Income Statement - Summary'!K11</f>
        <v>1</v>
      </c>
      <c r="BD12" s="23"/>
      <c r="BE12" s="23"/>
      <c r="BF12" s="23"/>
      <c r="BG12" s="23"/>
    </row>
    <row r="13" spans="1:59">
      <c r="B13" s="3">
        <v>31</v>
      </c>
      <c r="C13" s="85" t="s">
        <v>24</v>
      </c>
      <c r="D13" s="43"/>
      <c r="E13" s="23"/>
      <c r="F13" s="23"/>
      <c r="G13" s="23"/>
      <c r="H13" s="23"/>
      <c r="I13" s="23"/>
      <c r="J13" s="17"/>
      <c r="K13" s="23"/>
      <c r="L13" s="106"/>
      <c r="M13" s="17"/>
      <c r="N13" s="17"/>
      <c r="O13" s="17"/>
      <c r="P13" s="17">
        <f>'[1]Other Revenue'!F13</f>
        <v>12000</v>
      </c>
      <c r="Q13" s="17"/>
      <c r="R13" s="17"/>
      <c r="S13" s="17"/>
      <c r="T13" s="17"/>
      <c r="U13" s="17"/>
      <c r="V13" s="17"/>
      <c r="W13" s="17"/>
      <c r="X13" s="17">
        <f>'[1]Other Revenue'!F19</f>
        <v>25000</v>
      </c>
      <c r="Y13" s="17"/>
      <c r="Z13" s="17">
        <f>'[1]Other Revenue'!F17</f>
        <v>2128</v>
      </c>
      <c r="AA13" s="17"/>
      <c r="AB13" s="17"/>
      <c r="AC13" s="107"/>
      <c r="AD13" s="17"/>
      <c r="AE13" s="17">
        <f>'[1]Other Revenue'!F14</f>
        <v>6000</v>
      </c>
      <c r="AF13" s="17"/>
      <c r="AG13" s="17"/>
      <c r="AH13" s="17"/>
      <c r="AI13" s="106">
        <f>'[1]Other Revenue'!F11</f>
        <v>16000</v>
      </c>
      <c r="AJ13" s="17">
        <f>[1]Revenue!U30</f>
        <v>1173415.9101082606</v>
      </c>
      <c r="AK13" s="17">
        <f>'[1]Other Revenue'!F7</f>
        <v>87000</v>
      </c>
      <c r="AL13" s="106"/>
      <c r="AM13" s="17"/>
      <c r="AN13" s="17"/>
      <c r="AO13" s="17"/>
      <c r="AP13" s="17"/>
      <c r="AQ13" s="17">
        <f>'[1]Other Revenue'!F16</f>
        <v>4000</v>
      </c>
      <c r="AR13" s="17"/>
      <c r="AS13" s="17"/>
      <c r="AT13" s="17"/>
      <c r="AU13" s="17"/>
      <c r="AV13" s="17"/>
      <c r="AW13" s="17"/>
      <c r="AX13" s="17">
        <f>'[1]Other Revenue'!F9</f>
        <v>4000</v>
      </c>
      <c r="AY13" s="17"/>
      <c r="AZ13" s="106"/>
      <c r="BA13" s="108">
        <f>SUM('[1]Other Revenue'!F8,'[1]Other Revenue'!F10,'[1]Other Revenue'!F12,)</f>
        <v>16250</v>
      </c>
      <c r="BB13" s="17">
        <f>SUM(D13:BA13)</f>
        <v>1345793.9101082606</v>
      </c>
      <c r="BC13" s="23" t="b">
        <f>BB13='[1]Income Statement - Summary'!K12</f>
        <v>1</v>
      </c>
      <c r="BD13" s="23"/>
      <c r="BE13" s="23"/>
      <c r="BF13" s="23"/>
      <c r="BG13" s="23"/>
    </row>
    <row r="14" spans="1:59" s="49" customFormat="1">
      <c r="A14" s="49" t="s">
        <v>107</v>
      </c>
      <c r="D14" s="97">
        <f>[1]Revenue!U9+D13</f>
        <v>184400</v>
      </c>
      <c r="E14" s="109">
        <f>[1]Revenue!U10+E13</f>
        <v>4498847.7801850252</v>
      </c>
      <c r="F14" s="109">
        <f>[1]Revenue!U11+F13</f>
        <v>1516534.075474011</v>
      </c>
      <c r="G14" s="109">
        <f>[1]Revenue!U12+G13</f>
        <v>230263.56013043568</v>
      </c>
      <c r="H14" s="109">
        <f>[1]Revenue!U13+H13</f>
        <v>973908.76500836574</v>
      </c>
      <c r="I14" s="109">
        <f>[1]Revenue!U14+I13</f>
        <v>294025</v>
      </c>
      <c r="J14" s="109">
        <f>SUM(J9:J12)</f>
        <v>0</v>
      </c>
      <c r="K14" s="109">
        <f>[1]Revenue!U15+K13</f>
        <v>4345137.805943355</v>
      </c>
      <c r="L14" s="110">
        <f>[1]Revenue!U16+L13</f>
        <v>1144872.9796140678</v>
      </c>
      <c r="M14" s="109">
        <f>[1]Revenue!U17+M13</f>
        <v>4948287.0771789653</v>
      </c>
      <c r="N14" s="109">
        <f>[1]Revenue!U18+N13</f>
        <v>347846.04500437446</v>
      </c>
      <c r="O14" s="109">
        <f>[1]Revenue!U19</f>
        <v>4469236.9372630641</v>
      </c>
      <c r="P14" s="109">
        <f>[1]Revenue!U20</f>
        <v>2144490.5219099182</v>
      </c>
      <c r="Q14" s="109">
        <f>[1]Revenue!U21</f>
        <v>173169.95798319325</v>
      </c>
      <c r="R14" s="109">
        <f>[1]Revenue!U22</f>
        <v>600096.47960557591</v>
      </c>
      <c r="S14" s="109">
        <f>[1]Revenue!U23</f>
        <v>58126.363636363632</v>
      </c>
      <c r="T14" s="109">
        <f>[1]Revenue!U24</f>
        <v>1033968</v>
      </c>
      <c r="U14" s="109">
        <f>[1]Revenue!U25</f>
        <v>2872182.7595492345</v>
      </c>
      <c r="V14" s="109">
        <f>[1]Revenue!U26</f>
        <v>3670374.7792872908</v>
      </c>
      <c r="W14" s="109">
        <f>SUM(W9:W12)</f>
        <v>0</v>
      </c>
      <c r="X14" s="109">
        <f>SUM(X9:X12)</f>
        <v>0</v>
      </c>
      <c r="Y14" s="109">
        <f>[1]Revenue!U27</f>
        <v>501396.97273257066</v>
      </c>
      <c r="Z14" s="109">
        <f>[1]Revenue!U28</f>
        <v>805721.72762133693</v>
      </c>
      <c r="AA14" s="109">
        <f t="shared" ref="AA14:AH14" si="1">SUM(AA9:AA12)</f>
        <v>0</v>
      </c>
      <c r="AB14" s="109">
        <f t="shared" si="1"/>
        <v>0</v>
      </c>
      <c r="AC14" s="109">
        <f t="shared" si="1"/>
        <v>0</v>
      </c>
      <c r="AD14" s="109">
        <f t="shared" si="1"/>
        <v>0</v>
      </c>
      <c r="AE14" s="109">
        <f t="shared" si="1"/>
        <v>0</v>
      </c>
      <c r="AF14" s="109">
        <f t="shared" si="1"/>
        <v>0</v>
      </c>
      <c r="AG14" s="109">
        <f t="shared" si="1"/>
        <v>0</v>
      </c>
      <c r="AH14" s="109">
        <f t="shared" si="1"/>
        <v>0</v>
      </c>
      <c r="AI14" s="110">
        <f>'[1]PBC Revenue'!K17</f>
        <v>1513564</v>
      </c>
      <c r="AJ14" s="109">
        <f t="shared" ref="AJ14:BB14" si="2">SUM(AJ9:AJ12)</f>
        <v>0</v>
      </c>
      <c r="AK14" s="109">
        <f t="shared" si="2"/>
        <v>0</v>
      </c>
      <c r="AL14" s="110">
        <f t="shared" si="2"/>
        <v>0</v>
      </c>
      <c r="AM14" s="109">
        <f t="shared" si="2"/>
        <v>0</v>
      </c>
      <c r="AN14" s="109">
        <f t="shared" si="2"/>
        <v>0</v>
      </c>
      <c r="AO14" s="109">
        <f t="shared" si="2"/>
        <v>0</v>
      </c>
      <c r="AP14" s="109">
        <f t="shared" si="2"/>
        <v>0</v>
      </c>
      <c r="AQ14" s="109">
        <f t="shared" si="2"/>
        <v>0</v>
      </c>
      <c r="AR14" s="109">
        <f t="shared" si="2"/>
        <v>0</v>
      </c>
      <c r="AS14" s="109">
        <f t="shared" si="2"/>
        <v>0</v>
      </c>
      <c r="AT14" s="109">
        <f t="shared" si="2"/>
        <v>0</v>
      </c>
      <c r="AU14" s="109">
        <f t="shared" si="2"/>
        <v>0</v>
      </c>
      <c r="AV14" s="109">
        <f t="shared" si="2"/>
        <v>0</v>
      </c>
      <c r="AW14" s="109">
        <f t="shared" si="2"/>
        <v>0</v>
      </c>
      <c r="AX14" s="109">
        <f t="shared" si="2"/>
        <v>0</v>
      </c>
      <c r="AY14" s="109">
        <f t="shared" si="2"/>
        <v>0</v>
      </c>
      <c r="AZ14" s="110">
        <f t="shared" si="2"/>
        <v>0</v>
      </c>
      <c r="BA14" s="109">
        <f t="shared" si="2"/>
        <v>3632645</v>
      </c>
      <c r="BB14" s="111">
        <f t="shared" si="2"/>
        <v>39959096.588127151</v>
      </c>
      <c r="BC14" s="73" t="b">
        <f>BB14=SUM('[1]Income Statement - Summary'!K8:K11)</f>
        <v>1</v>
      </c>
      <c r="BD14" s="112">
        <f>BB14+BB13</f>
        <v>41304890.498235412</v>
      </c>
      <c r="BE14" s="73"/>
      <c r="BF14" s="73"/>
      <c r="BG14" s="73"/>
    </row>
    <row r="15" spans="1:59" s="49" customFormat="1" ht="5.25" customHeight="1">
      <c r="D15" s="97"/>
      <c r="E15" s="109"/>
      <c r="F15" s="109"/>
      <c r="G15" s="109"/>
      <c r="H15" s="109"/>
      <c r="I15" s="109"/>
      <c r="J15" s="109"/>
      <c r="K15" s="109"/>
      <c r="L15" s="110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13"/>
      <c r="AD15" s="109"/>
      <c r="AE15" s="109"/>
      <c r="AF15" s="109"/>
      <c r="AG15" s="109"/>
      <c r="AH15" s="109"/>
      <c r="AI15" s="110"/>
      <c r="AJ15" s="109"/>
      <c r="AK15" s="109"/>
      <c r="AL15" s="110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10"/>
      <c r="BA15" s="109"/>
      <c r="BB15" s="109"/>
      <c r="BC15" s="73"/>
      <c r="BD15" s="114"/>
      <c r="BE15" s="73"/>
      <c r="BF15" s="73"/>
      <c r="BG15" s="73"/>
    </row>
    <row r="16" spans="1:59">
      <c r="A16" s="49" t="s">
        <v>108</v>
      </c>
      <c r="D16" s="43">
        <f>SUM(D9:D13)</f>
        <v>184400</v>
      </c>
      <c r="E16" s="23">
        <f t="shared" ref="E16:AZ16" si="3">SUM(E9:E13)</f>
        <v>4498847.7801850252</v>
      </c>
      <c r="F16" s="23">
        <f t="shared" si="3"/>
        <v>1516534.075474011</v>
      </c>
      <c r="G16" s="23">
        <f t="shared" si="3"/>
        <v>230263.56013043568</v>
      </c>
      <c r="H16" s="23">
        <f t="shared" si="3"/>
        <v>973908.76500836574</v>
      </c>
      <c r="I16" s="23">
        <f t="shared" si="3"/>
        <v>294025</v>
      </c>
      <c r="J16" s="23">
        <f t="shared" si="3"/>
        <v>0</v>
      </c>
      <c r="K16" s="23">
        <f t="shared" si="3"/>
        <v>4345137.805943355</v>
      </c>
      <c r="L16" s="23">
        <f t="shared" si="3"/>
        <v>1144872.9796140678</v>
      </c>
      <c r="M16" s="23">
        <f t="shared" si="3"/>
        <v>4948287.0771789653</v>
      </c>
      <c r="N16" s="23">
        <f t="shared" si="3"/>
        <v>347846.04500437446</v>
      </c>
      <c r="O16" s="23">
        <f t="shared" si="3"/>
        <v>4469236.9372630641</v>
      </c>
      <c r="P16" s="23">
        <f t="shared" si="3"/>
        <v>2156490.5219099182</v>
      </c>
      <c r="Q16" s="23">
        <f t="shared" si="3"/>
        <v>173169.95798319325</v>
      </c>
      <c r="R16" s="23">
        <f t="shared" si="3"/>
        <v>600096.47960557591</v>
      </c>
      <c r="S16" s="23">
        <f t="shared" si="3"/>
        <v>58126.363636363632</v>
      </c>
      <c r="T16" s="23">
        <f t="shared" si="3"/>
        <v>1033968</v>
      </c>
      <c r="U16" s="23">
        <f t="shared" si="3"/>
        <v>2872182.7595492345</v>
      </c>
      <c r="V16" s="23">
        <f t="shared" si="3"/>
        <v>3670374.7792872908</v>
      </c>
      <c r="W16" s="23">
        <f t="shared" si="3"/>
        <v>0</v>
      </c>
      <c r="X16" s="23">
        <f t="shared" si="3"/>
        <v>25000</v>
      </c>
      <c r="Y16" s="23">
        <f t="shared" si="3"/>
        <v>501396.97273257066</v>
      </c>
      <c r="Z16" s="23">
        <f t="shared" si="3"/>
        <v>807849.72762133693</v>
      </c>
      <c r="AA16" s="23">
        <f t="shared" si="3"/>
        <v>0</v>
      </c>
      <c r="AB16" s="23">
        <f t="shared" si="3"/>
        <v>0</v>
      </c>
      <c r="AC16" s="23">
        <f t="shared" si="3"/>
        <v>0</v>
      </c>
      <c r="AD16" s="23">
        <f t="shared" si="3"/>
        <v>0</v>
      </c>
      <c r="AE16" s="23">
        <f t="shared" si="3"/>
        <v>6000</v>
      </c>
      <c r="AF16" s="23">
        <f t="shared" si="3"/>
        <v>0</v>
      </c>
      <c r="AG16" s="23">
        <f t="shared" si="3"/>
        <v>0</v>
      </c>
      <c r="AH16" s="23">
        <f t="shared" si="3"/>
        <v>0</v>
      </c>
      <c r="AI16" s="23">
        <f>SUM(AI9:AI13)</f>
        <v>1529564</v>
      </c>
      <c r="AJ16" s="23">
        <f>SUM(AJ9:AJ13)</f>
        <v>1173415.9101082606</v>
      </c>
      <c r="AK16" s="23">
        <f t="shared" si="3"/>
        <v>87000</v>
      </c>
      <c r="AL16" s="103">
        <f t="shared" si="3"/>
        <v>0</v>
      </c>
      <c r="AM16" s="23">
        <f t="shared" si="3"/>
        <v>0</v>
      </c>
      <c r="AN16" s="23">
        <f t="shared" si="3"/>
        <v>0</v>
      </c>
      <c r="AO16" s="23">
        <f t="shared" si="3"/>
        <v>0</v>
      </c>
      <c r="AP16" s="23">
        <f t="shared" si="3"/>
        <v>0</v>
      </c>
      <c r="AQ16" s="23">
        <f t="shared" si="3"/>
        <v>4000</v>
      </c>
      <c r="AR16" s="23">
        <f t="shared" si="3"/>
        <v>0</v>
      </c>
      <c r="AS16" s="23">
        <f t="shared" si="3"/>
        <v>0</v>
      </c>
      <c r="AT16" s="23">
        <f t="shared" si="3"/>
        <v>0</v>
      </c>
      <c r="AU16" s="23">
        <f t="shared" si="3"/>
        <v>0</v>
      </c>
      <c r="AV16" s="23">
        <f t="shared" si="3"/>
        <v>0</v>
      </c>
      <c r="AW16" s="23">
        <f t="shared" si="3"/>
        <v>0</v>
      </c>
      <c r="AX16" s="23">
        <f t="shared" si="3"/>
        <v>4000</v>
      </c>
      <c r="AY16" s="23">
        <f t="shared" si="3"/>
        <v>0</v>
      </c>
      <c r="AZ16" s="103">
        <f t="shared" si="3"/>
        <v>0</v>
      </c>
      <c r="BA16" s="23">
        <f>SUM(BA9:BA13)</f>
        <v>3648895</v>
      </c>
      <c r="BB16" s="109">
        <f>SUM(D16:BA16)</f>
        <v>41304890.498235412</v>
      </c>
      <c r="BC16" s="23" t="b">
        <f>'[1]Income Statement - Summary'!K14=BB16</f>
        <v>1</v>
      </c>
      <c r="BD16" s="115">
        <f>BB16-BD14</f>
        <v>0</v>
      </c>
      <c r="BE16" s="23"/>
      <c r="BF16" s="23"/>
      <c r="BG16" s="23"/>
    </row>
    <row r="17" spans="1:59" ht="5.25" customHeight="1">
      <c r="E17" s="23"/>
      <c r="F17" s="23"/>
      <c r="G17" s="23"/>
      <c r="H17" s="23"/>
      <c r="I17" s="23"/>
      <c r="J17" s="23"/>
      <c r="K17" s="23"/>
      <c r="L17" s="10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104"/>
      <c r="AD17" s="23"/>
      <c r="AE17" s="23"/>
      <c r="AF17" s="23"/>
      <c r="AG17" s="23"/>
      <c r="AH17" s="23"/>
      <c r="AI17" s="103"/>
      <c r="AJ17" s="23"/>
      <c r="AK17" s="23"/>
      <c r="AL17" s="10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103"/>
      <c r="BA17" s="23"/>
      <c r="BB17" s="17"/>
      <c r="BC17" s="23"/>
      <c r="BD17" s="23"/>
      <c r="BE17" s="23"/>
      <c r="BF17" s="23"/>
      <c r="BG17" s="23"/>
    </row>
    <row r="18" spans="1:59">
      <c r="A18" s="49" t="s">
        <v>109</v>
      </c>
      <c r="D18" s="88"/>
      <c r="E18" s="17"/>
      <c r="F18" s="17"/>
      <c r="G18" s="17"/>
      <c r="H18" s="17"/>
      <c r="I18" s="17"/>
      <c r="J18" s="17"/>
      <c r="K18" s="17"/>
      <c r="L18" s="106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07"/>
      <c r="AD18" s="17"/>
      <c r="AE18" s="17"/>
      <c r="AF18" s="17"/>
      <c r="AG18" s="17"/>
      <c r="AH18" s="17"/>
      <c r="AI18" s="106"/>
      <c r="AJ18" s="17"/>
      <c r="AK18" s="17"/>
      <c r="AL18" s="106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06"/>
      <c r="BA18" s="17"/>
      <c r="BB18" s="17"/>
      <c r="BC18" s="23"/>
      <c r="BD18" s="23"/>
      <c r="BE18" s="23"/>
      <c r="BF18" s="23"/>
      <c r="BG18" s="23"/>
    </row>
    <row r="19" spans="1:59">
      <c r="A19" s="49"/>
      <c r="C19" s="3" t="s">
        <v>27</v>
      </c>
      <c r="D19" s="88"/>
      <c r="E19" s="17"/>
      <c r="F19" s="17"/>
      <c r="G19" s="17"/>
      <c r="H19" s="17"/>
      <c r="I19" s="17"/>
      <c r="J19" s="17"/>
      <c r="K19" s="17"/>
      <c r="L19" s="106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07"/>
      <c r="AD19" s="17"/>
      <c r="AE19" s="17"/>
      <c r="AF19" s="17"/>
      <c r="AG19" s="17"/>
      <c r="AH19" s="17"/>
      <c r="AI19" s="106"/>
      <c r="AJ19" s="17"/>
      <c r="AK19" s="17"/>
      <c r="AL19" s="106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06"/>
      <c r="BA19" s="17">
        <v>11787934</v>
      </c>
      <c r="BB19" s="17">
        <f>SUM(D19:BA19)</f>
        <v>11787934</v>
      </c>
      <c r="BC19" s="17">
        <f>ROUND(SUM(BB9:BB12)*38.25%,2)</f>
        <v>15284354.439999999</v>
      </c>
      <c r="BD19" s="98">
        <f>0.387*BB14</f>
        <v>15464170.379605208</v>
      </c>
      <c r="BE19" s="23"/>
      <c r="BF19" s="23"/>
      <c r="BG19" s="23"/>
    </row>
    <row r="20" spans="1:59">
      <c r="A20" s="49"/>
      <c r="C20" s="3" t="s">
        <v>28</v>
      </c>
      <c r="D20" s="88"/>
      <c r="E20" s="17"/>
      <c r="F20" s="17"/>
      <c r="G20" s="17"/>
      <c r="H20" s="17"/>
      <c r="I20" s="17"/>
      <c r="J20" s="17"/>
      <c r="K20" s="17"/>
      <c r="L20" s="106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07"/>
      <c r="AD20" s="17"/>
      <c r="AE20" s="17"/>
      <c r="AF20" s="17"/>
      <c r="AG20" s="17"/>
      <c r="AH20" s="17"/>
      <c r="AI20" s="106"/>
      <c r="AJ20" s="17"/>
      <c r="AK20" s="17"/>
      <c r="AL20" s="106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06"/>
      <c r="BA20" s="17">
        <v>1997955</v>
      </c>
      <c r="BB20" s="17">
        <f>SUM(D20:BA20)</f>
        <v>1997955</v>
      </c>
      <c r="BC20" s="23"/>
      <c r="BD20" s="23">
        <f>BC19-BD19</f>
        <v>-179815.93960520811</v>
      </c>
      <c r="BE20" s="23"/>
      <c r="BF20" s="23"/>
      <c r="BG20" s="23"/>
    </row>
    <row r="21" spans="1:59">
      <c r="A21" s="49"/>
      <c r="C21" s="3" t="s">
        <v>29</v>
      </c>
      <c r="D21" s="88"/>
      <c r="E21" s="17"/>
      <c r="F21" s="17"/>
      <c r="G21" s="17"/>
      <c r="H21" s="17"/>
      <c r="I21" s="17"/>
      <c r="J21" s="17"/>
      <c r="K21" s="17"/>
      <c r="L21" s="106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07"/>
      <c r="AD21" s="17"/>
      <c r="AE21" s="17"/>
      <c r="AF21" s="17"/>
      <c r="AG21" s="17"/>
      <c r="AH21" s="17"/>
      <c r="AI21" s="106"/>
      <c r="AJ21" s="17"/>
      <c r="AK21" s="17"/>
      <c r="AL21" s="106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06"/>
      <c r="BA21" s="17">
        <v>1598364</v>
      </c>
      <c r="BB21" s="17">
        <f>SUM(D21:BA21)</f>
        <v>1598364</v>
      </c>
      <c r="BC21" s="23"/>
      <c r="BD21" s="23"/>
      <c r="BE21" s="23"/>
      <c r="BF21" s="23"/>
      <c r="BG21" s="23"/>
    </row>
    <row r="22" spans="1:59">
      <c r="A22" s="49"/>
      <c r="B22" s="49" t="s">
        <v>110</v>
      </c>
      <c r="D22" s="88">
        <f>SUM(D19:D21)</f>
        <v>0</v>
      </c>
      <c r="E22" s="17">
        <f t="shared" ref="E22:BA22" si="4">SUM(E19:E21)</f>
        <v>0</v>
      </c>
      <c r="F22" s="17">
        <f t="shared" si="4"/>
        <v>0</v>
      </c>
      <c r="G22" s="17">
        <f t="shared" si="4"/>
        <v>0</v>
      </c>
      <c r="H22" s="17">
        <f t="shared" si="4"/>
        <v>0</v>
      </c>
      <c r="I22" s="17">
        <f t="shared" si="4"/>
        <v>0</v>
      </c>
      <c r="J22" s="17">
        <f t="shared" si="4"/>
        <v>0</v>
      </c>
      <c r="K22" s="17">
        <f t="shared" si="4"/>
        <v>0</v>
      </c>
      <c r="L22" s="106">
        <f t="shared" si="4"/>
        <v>0</v>
      </c>
      <c r="M22" s="17">
        <f t="shared" si="4"/>
        <v>0</v>
      </c>
      <c r="N22" s="17">
        <f t="shared" si="4"/>
        <v>0</v>
      </c>
      <c r="O22" s="17">
        <f t="shared" si="4"/>
        <v>0</v>
      </c>
      <c r="P22" s="17">
        <f t="shared" si="4"/>
        <v>0</v>
      </c>
      <c r="Q22" s="17">
        <f t="shared" si="4"/>
        <v>0</v>
      </c>
      <c r="R22" s="17">
        <f t="shared" si="4"/>
        <v>0</v>
      </c>
      <c r="S22" s="17">
        <f t="shared" si="4"/>
        <v>0</v>
      </c>
      <c r="T22" s="17">
        <f t="shared" si="4"/>
        <v>0</v>
      </c>
      <c r="U22" s="17">
        <f t="shared" si="4"/>
        <v>0</v>
      </c>
      <c r="V22" s="17">
        <f t="shared" si="4"/>
        <v>0</v>
      </c>
      <c r="W22" s="17">
        <f t="shared" si="4"/>
        <v>0</v>
      </c>
      <c r="X22" s="17">
        <f t="shared" si="4"/>
        <v>0</v>
      </c>
      <c r="Y22" s="17">
        <f t="shared" si="4"/>
        <v>0</v>
      </c>
      <c r="Z22" s="17">
        <f t="shared" si="4"/>
        <v>0</v>
      </c>
      <c r="AA22" s="17">
        <f t="shared" si="4"/>
        <v>0</v>
      </c>
      <c r="AB22" s="17">
        <f t="shared" si="4"/>
        <v>0</v>
      </c>
      <c r="AC22" s="107">
        <f t="shared" si="4"/>
        <v>0</v>
      </c>
      <c r="AD22" s="17"/>
      <c r="AE22" s="17">
        <f t="shared" si="4"/>
        <v>0</v>
      </c>
      <c r="AF22" s="17">
        <f t="shared" si="4"/>
        <v>0</v>
      </c>
      <c r="AG22" s="17">
        <f t="shared" si="4"/>
        <v>0</v>
      </c>
      <c r="AH22" s="17">
        <f t="shared" si="4"/>
        <v>0</v>
      </c>
      <c r="AI22" s="106">
        <f t="shared" si="4"/>
        <v>0</v>
      </c>
      <c r="AJ22" s="17">
        <f t="shared" si="4"/>
        <v>0</v>
      </c>
      <c r="AK22" s="17">
        <f t="shared" si="4"/>
        <v>0</v>
      </c>
      <c r="AL22" s="106">
        <f t="shared" si="4"/>
        <v>0</v>
      </c>
      <c r="AM22" s="17">
        <f t="shared" si="4"/>
        <v>0</v>
      </c>
      <c r="AN22" s="17">
        <f t="shared" si="4"/>
        <v>0</v>
      </c>
      <c r="AO22" s="17">
        <f t="shared" si="4"/>
        <v>0</v>
      </c>
      <c r="AP22" s="17">
        <f t="shared" si="4"/>
        <v>0</v>
      </c>
      <c r="AQ22" s="17">
        <f t="shared" si="4"/>
        <v>0</v>
      </c>
      <c r="AR22" s="17">
        <f t="shared" si="4"/>
        <v>0</v>
      </c>
      <c r="AS22" s="17">
        <f t="shared" si="4"/>
        <v>0</v>
      </c>
      <c r="AT22" s="17">
        <f t="shared" si="4"/>
        <v>0</v>
      </c>
      <c r="AU22" s="17">
        <f t="shared" si="4"/>
        <v>0</v>
      </c>
      <c r="AV22" s="17">
        <f t="shared" si="4"/>
        <v>0</v>
      </c>
      <c r="AW22" s="17">
        <f t="shared" si="4"/>
        <v>0</v>
      </c>
      <c r="AX22" s="17">
        <f t="shared" si="4"/>
        <v>0</v>
      </c>
      <c r="AY22" s="17">
        <f t="shared" si="4"/>
        <v>0</v>
      </c>
      <c r="AZ22" s="106">
        <f t="shared" si="4"/>
        <v>0</v>
      </c>
      <c r="BA22" s="17">
        <f t="shared" si="4"/>
        <v>15384253</v>
      </c>
      <c r="BB22" s="17">
        <f>SUM(BB19:BB21)</f>
        <v>15384253</v>
      </c>
      <c r="BC22" s="23"/>
      <c r="BD22" s="23"/>
      <c r="BE22" s="23"/>
      <c r="BF22" s="23"/>
      <c r="BG22" s="23"/>
    </row>
    <row r="23" spans="1:59" ht="4.5" customHeight="1">
      <c r="A23" s="49"/>
      <c r="D23" s="88"/>
      <c r="E23" s="17"/>
      <c r="F23" s="17"/>
      <c r="G23" s="17"/>
      <c r="H23" s="17"/>
      <c r="I23" s="17"/>
      <c r="J23" s="17"/>
      <c r="K23" s="17"/>
      <c r="L23" s="106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07"/>
      <c r="AD23" s="17"/>
      <c r="AE23" s="17"/>
      <c r="AF23" s="17"/>
      <c r="AG23" s="17"/>
      <c r="AH23" s="17"/>
      <c r="AI23" s="106"/>
      <c r="AJ23" s="17"/>
      <c r="AK23" s="17"/>
      <c r="AL23" s="106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06"/>
      <c r="BA23" s="17"/>
      <c r="BB23" s="17"/>
      <c r="BC23" s="23"/>
      <c r="BD23" s="23"/>
      <c r="BE23" s="23"/>
      <c r="BF23" s="23"/>
      <c r="BG23" s="23"/>
    </row>
    <row r="24" spans="1:59">
      <c r="A24" s="49" t="s">
        <v>111</v>
      </c>
      <c r="D24" s="88">
        <f t="shared" ref="D24:AC24" si="5">D14-D18</f>
        <v>184400</v>
      </c>
      <c r="E24" s="17">
        <f t="shared" si="5"/>
        <v>4498847.7801850252</v>
      </c>
      <c r="F24" s="17">
        <f t="shared" si="5"/>
        <v>1516534.075474011</v>
      </c>
      <c r="G24" s="17">
        <f t="shared" si="5"/>
        <v>230263.56013043568</v>
      </c>
      <c r="H24" s="17">
        <f t="shared" si="5"/>
        <v>973908.76500836574</v>
      </c>
      <c r="I24" s="17">
        <f t="shared" si="5"/>
        <v>294025</v>
      </c>
      <c r="J24" s="17">
        <f t="shared" si="5"/>
        <v>0</v>
      </c>
      <c r="K24" s="17">
        <f t="shared" si="5"/>
        <v>4345137.805943355</v>
      </c>
      <c r="L24" s="106">
        <f t="shared" si="5"/>
        <v>1144872.9796140678</v>
      </c>
      <c r="M24" s="17">
        <f t="shared" si="5"/>
        <v>4948287.0771789653</v>
      </c>
      <c r="N24" s="17">
        <f t="shared" si="5"/>
        <v>347846.04500437446</v>
      </c>
      <c r="O24" s="17">
        <f t="shared" si="5"/>
        <v>4469236.9372630641</v>
      </c>
      <c r="P24" s="17">
        <f t="shared" si="5"/>
        <v>2144490.5219099182</v>
      </c>
      <c r="Q24" s="17">
        <f t="shared" si="5"/>
        <v>173169.95798319325</v>
      </c>
      <c r="R24" s="17">
        <f t="shared" si="5"/>
        <v>600096.47960557591</v>
      </c>
      <c r="S24" s="17">
        <f t="shared" si="5"/>
        <v>58126.363636363632</v>
      </c>
      <c r="T24" s="17">
        <f t="shared" si="5"/>
        <v>1033968</v>
      </c>
      <c r="U24" s="17">
        <f t="shared" si="5"/>
        <v>2872182.7595492345</v>
      </c>
      <c r="V24" s="17">
        <f t="shared" si="5"/>
        <v>3670374.7792872908</v>
      </c>
      <c r="W24" s="17">
        <f t="shared" si="5"/>
        <v>0</v>
      </c>
      <c r="X24" s="17">
        <f t="shared" si="5"/>
        <v>0</v>
      </c>
      <c r="Y24" s="17">
        <f t="shared" si="5"/>
        <v>501396.97273257066</v>
      </c>
      <c r="Z24" s="17">
        <f t="shared" si="5"/>
        <v>805721.72762133693</v>
      </c>
      <c r="AA24" s="17">
        <f t="shared" si="5"/>
        <v>0</v>
      </c>
      <c r="AB24" s="17">
        <f t="shared" si="5"/>
        <v>0</v>
      </c>
      <c r="AC24" s="107">
        <f t="shared" si="5"/>
        <v>0</v>
      </c>
      <c r="AD24" s="17"/>
      <c r="AE24" s="17">
        <f t="shared" ref="AE24:AZ24" si="6">AE14-AE18</f>
        <v>0</v>
      </c>
      <c r="AF24" s="17">
        <f t="shared" si="6"/>
        <v>0</v>
      </c>
      <c r="AG24" s="17">
        <f t="shared" si="6"/>
        <v>0</v>
      </c>
      <c r="AH24" s="17">
        <f t="shared" si="6"/>
        <v>0</v>
      </c>
      <c r="AI24" s="106">
        <f>AI16-AI18</f>
        <v>1529564</v>
      </c>
      <c r="AJ24" s="17">
        <f>AJ16-AJ22</f>
        <v>1173415.9101082606</v>
      </c>
      <c r="AK24" s="17">
        <f t="shared" si="6"/>
        <v>0</v>
      </c>
      <c r="AL24" s="106">
        <f t="shared" si="6"/>
        <v>0</v>
      </c>
      <c r="AM24" s="17">
        <f t="shared" si="6"/>
        <v>0</v>
      </c>
      <c r="AN24" s="17">
        <f t="shared" si="6"/>
        <v>0</v>
      </c>
      <c r="AO24" s="17">
        <f t="shared" si="6"/>
        <v>0</v>
      </c>
      <c r="AP24" s="17">
        <f t="shared" si="6"/>
        <v>0</v>
      </c>
      <c r="AQ24" s="17">
        <f t="shared" si="6"/>
        <v>0</v>
      </c>
      <c r="AR24" s="17">
        <f t="shared" si="6"/>
        <v>0</v>
      </c>
      <c r="AS24" s="17">
        <f t="shared" si="6"/>
        <v>0</v>
      </c>
      <c r="AT24" s="17">
        <f t="shared" si="6"/>
        <v>0</v>
      </c>
      <c r="AU24" s="17">
        <f t="shared" si="6"/>
        <v>0</v>
      </c>
      <c r="AV24" s="17">
        <f t="shared" si="6"/>
        <v>0</v>
      </c>
      <c r="AW24" s="17">
        <f t="shared" si="6"/>
        <v>0</v>
      </c>
      <c r="AX24" s="17">
        <f t="shared" si="6"/>
        <v>0</v>
      </c>
      <c r="AY24" s="17">
        <f t="shared" si="6"/>
        <v>0</v>
      </c>
      <c r="AZ24" s="106">
        <f t="shared" si="6"/>
        <v>0</v>
      </c>
      <c r="BA24" s="17"/>
      <c r="BB24" s="17">
        <f>BB16-BB22</f>
        <v>25920637.498235412</v>
      </c>
      <c r="BC24" s="23"/>
      <c r="BD24" s="23"/>
      <c r="BE24" s="23"/>
      <c r="BF24" s="23"/>
      <c r="BG24" s="23"/>
    </row>
    <row r="25" spans="1:59" ht="6" customHeight="1">
      <c r="D25" s="88"/>
      <c r="E25" s="17"/>
      <c r="F25" s="17"/>
      <c r="G25" s="17"/>
      <c r="H25" s="17"/>
      <c r="I25" s="17"/>
      <c r="J25" s="17"/>
      <c r="K25" s="17"/>
      <c r="L25" s="106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07"/>
      <c r="AD25" s="17"/>
      <c r="AE25" s="17"/>
      <c r="AF25" s="17"/>
      <c r="AG25" s="17"/>
      <c r="AH25" s="17"/>
      <c r="AI25" s="106"/>
      <c r="AJ25" s="17"/>
      <c r="AK25" s="17"/>
      <c r="AL25" s="106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06"/>
      <c r="BA25" s="17"/>
      <c r="BB25" s="17"/>
      <c r="BC25" s="23"/>
      <c r="BD25" s="23"/>
      <c r="BE25" s="23"/>
      <c r="BF25" s="23"/>
      <c r="BG25" s="23"/>
    </row>
    <row r="26" spans="1:59">
      <c r="A26" s="49" t="s">
        <v>112</v>
      </c>
      <c r="D26" s="88"/>
      <c r="E26" s="17"/>
      <c r="F26" s="17"/>
      <c r="G26" s="17"/>
      <c r="H26" s="17"/>
      <c r="I26" s="17"/>
      <c r="J26" s="17"/>
      <c r="K26" s="17"/>
      <c r="L26" s="106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07"/>
      <c r="AD26" s="17"/>
      <c r="AE26" s="17"/>
      <c r="AF26" s="17"/>
      <c r="AG26" s="17"/>
      <c r="AH26" s="17"/>
      <c r="AI26" s="106"/>
      <c r="AJ26" s="17"/>
      <c r="AK26" s="17"/>
      <c r="AL26" s="106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06"/>
      <c r="BA26" s="17"/>
      <c r="BB26" s="17"/>
      <c r="BC26" s="116" t="s">
        <v>113</v>
      </c>
      <c r="BD26" s="117" t="s">
        <v>114</v>
      </c>
      <c r="BE26" s="23"/>
      <c r="BF26" s="23"/>
      <c r="BG26" s="23"/>
    </row>
    <row r="27" spans="1:59">
      <c r="B27" s="99" t="s">
        <v>115</v>
      </c>
      <c r="C27" s="3" t="s">
        <v>116</v>
      </c>
      <c r="D27" s="88">
        <f>[2]Departmentals!$H$14</f>
        <v>19427.290991574857</v>
      </c>
      <c r="E27" s="17">
        <f>[3]Departmentals!$H$16</f>
        <v>1391006.7857744372</v>
      </c>
      <c r="F27" s="17">
        <f>[4]Departmentals!$H$15</f>
        <v>502620.02987192036</v>
      </c>
      <c r="G27" s="17"/>
      <c r="H27" s="17">
        <f>[5]Departmentals!$H$15</f>
        <v>303444.50001838792</v>
      </c>
      <c r="I27" s="17"/>
      <c r="J27" s="17">
        <f>[6]Departmentals!$H$15</f>
        <v>517406.27429437946</v>
      </c>
      <c r="K27" s="17">
        <f>[7]Departmentals!$H$15</f>
        <v>446469.62624212244</v>
      </c>
      <c r="L27" s="106">
        <f>[8]Departmentals!$H$14</f>
        <v>434491.19999999995</v>
      </c>
      <c r="M27" s="17">
        <f>'[9]Dept by SU'!$L$15</f>
        <v>658157.28800000006</v>
      </c>
      <c r="N27" s="17">
        <f>[10]Departmentals!$H$15</f>
        <v>23149.75</v>
      </c>
      <c r="O27" s="17">
        <f>[11]Departmentals!$J$15</f>
        <v>688178</v>
      </c>
      <c r="P27" s="17">
        <f>[12]Departmentals!$H$15</f>
        <v>282221.64999999997</v>
      </c>
      <c r="Q27" s="17">
        <f>[13]Departmentals!$H$16</f>
        <v>62400</v>
      </c>
      <c r="R27" s="17">
        <f>[14]Departmentals!$H$15</f>
        <v>143584.44999999998</v>
      </c>
      <c r="S27" s="17">
        <f>[15]Departmentals!$H$16</f>
        <v>1750</v>
      </c>
      <c r="T27" s="17">
        <f>[16]Departmentals!$H$15</f>
        <v>349197.67999999993</v>
      </c>
      <c r="U27" s="17">
        <f>[17]Departmentals!$H$16</f>
        <v>963600</v>
      </c>
      <c r="V27" s="17">
        <f>[18]Departmentals!$H$15</f>
        <v>776956.54479952413</v>
      </c>
      <c r="W27" s="17">
        <f>[19]Departmentals!$H$16</f>
        <v>25000</v>
      </c>
      <c r="X27" s="17">
        <v>0</v>
      </c>
      <c r="Y27" s="17">
        <f>[21]Departmentals!$H$15</f>
        <v>257832.77207759657</v>
      </c>
      <c r="Z27" s="17">
        <f>[22]Departmentals!$H$14</f>
        <v>383284.12020867091</v>
      </c>
      <c r="AA27" s="17">
        <f>[23]Departmentals!$H$15</f>
        <v>34320</v>
      </c>
      <c r="AB27" s="106">
        <f>[24]Departmentals!$H$16</f>
        <v>209385.32581935189</v>
      </c>
      <c r="AC27" s="107">
        <f>'[1]HealthSync Training'!E39</f>
        <v>56363.029343628674</v>
      </c>
      <c r="AD27" s="17">
        <f>[25]Departmentals!$D$15</f>
        <v>76901</v>
      </c>
      <c r="AE27" s="17">
        <v>0</v>
      </c>
      <c r="AF27" s="17">
        <v>0</v>
      </c>
      <c r="AG27" s="17">
        <v>0</v>
      </c>
      <c r="AH27" s="17">
        <f>[29]Departmentals!$H$15</f>
        <v>363526.07828784717</v>
      </c>
      <c r="AI27" s="106">
        <f>'[30]New 678'!$H$15</f>
        <v>818430.05059466674</v>
      </c>
      <c r="AJ27" s="17">
        <f>[31]Departmentals!$H$15</f>
        <v>509921.38</v>
      </c>
      <c r="AK27" s="17">
        <f>[32]Departmentals!$H$14</f>
        <v>284349.31384615385</v>
      </c>
      <c r="AL27" s="106">
        <f>[46]Departmentals!$D$14</f>
        <v>30000</v>
      </c>
      <c r="AM27" s="17">
        <f>[33]Departmentals!$H$14</f>
        <v>55748</v>
      </c>
      <c r="AN27" s="17">
        <f>[34]Departmentals!$H$14</f>
        <v>244980.74000000005</v>
      </c>
      <c r="AO27" s="17">
        <f>[35]Departmentals!$H$15</f>
        <v>0</v>
      </c>
      <c r="AP27" s="17">
        <f>'[36]Dept by SU'!$L$15</f>
        <v>144213.52000000002</v>
      </c>
      <c r="AQ27" s="17">
        <f>[37]Departmentals!$H$14</f>
        <v>130780</v>
      </c>
      <c r="AR27" s="17">
        <f>[38]Departmentals!$H$14</f>
        <v>180000</v>
      </c>
      <c r="AS27" s="17">
        <f>[39]Departmentals!$H$14</f>
        <v>184110.70769230768</v>
      </c>
      <c r="AT27" s="17">
        <f>[40]Departmentals!$H$14</f>
        <v>160037.85513452155</v>
      </c>
      <c r="AU27" s="17">
        <f>[41]Departmentals!$H$14</f>
        <v>341706.9254015662</v>
      </c>
      <c r="AV27" s="17">
        <f>[42]Departmentals!$H$14</f>
        <v>188208</v>
      </c>
      <c r="AW27" s="17">
        <f>[43]Departmentals!$H$14</f>
        <v>104577.4</v>
      </c>
      <c r="AX27" s="17">
        <f>[44]Departmentals!$H$14</f>
        <v>216310.39999999999</v>
      </c>
      <c r="AY27" s="17">
        <f>[45]Departmentals!$H$14</f>
        <v>0</v>
      </c>
      <c r="AZ27" s="106"/>
      <c r="BA27" s="17">
        <f>'[1]Wage Adjustments'!D30</f>
        <v>1072633.2111265785</v>
      </c>
      <c r="BB27" s="17">
        <f>SUM(D27:BA27)</f>
        <v>13636680.89952524</v>
      </c>
      <c r="BC27" s="118" t="s">
        <v>33</v>
      </c>
      <c r="BD27" s="23"/>
      <c r="BE27" s="23"/>
      <c r="BF27" s="23"/>
      <c r="BG27" s="23"/>
    </row>
    <row r="28" spans="1:59" s="100" customFormat="1">
      <c r="B28" s="100">
        <v>19</v>
      </c>
      <c r="C28" s="100" t="s">
        <v>117</v>
      </c>
      <c r="D28" s="101">
        <f>D27*[1]Benefits!$F$18</f>
        <v>4891.069526009378</v>
      </c>
      <c r="E28" s="119">
        <f>E27*[1]Benefits!$F$18</f>
        <v>350203.78823399113</v>
      </c>
      <c r="F28" s="119">
        <f>F27*[1]Benefits!$F$18</f>
        <v>126541.03510029263</v>
      </c>
      <c r="G28" s="119">
        <f>G27*[1]Benefits!$F$18</f>
        <v>0</v>
      </c>
      <c r="H28" s="119">
        <f>H27*[1]Benefits!$F$18</f>
        <v>76396.042429113601</v>
      </c>
      <c r="I28" s="119">
        <f>I27*[1]Benefits!$F$18</f>
        <v>0</v>
      </c>
      <c r="J28" s="119">
        <f>J27*[1]Benefits!$F$18</f>
        <v>130263.66166362457</v>
      </c>
      <c r="K28" s="119">
        <f>K27*[1]Benefits!$F$18</f>
        <v>112404.45125100898</v>
      </c>
      <c r="L28" s="119">
        <f>L27*[1]Benefits!$F$18</f>
        <v>109388.72890517063</v>
      </c>
      <c r="M28" s="119">
        <f>M27*[1]Benefits!$F$18</f>
        <v>165699.53350952637</v>
      </c>
      <c r="N28" s="119">
        <f>N27*[1]Benefits!$F$18</f>
        <v>5828.2462958340102</v>
      </c>
      <c r="O28" s="119">
        <f>O27*[1]Benefits!$F$18</f>
        <v>173257.63256080335</v>
      </c>
      <c r="P28" s="119">
        <f>P27*[1]Benefits!$F$18</f>
        <v>71052.917902640955</v>
      </c>
      <c r="Q28" s="119">
        <f>Q27*[1]Benefits!$F$18</f>
        <v>15709.999842764706</v>
      </c>
      <c r="R28" s="119">
        <f>R27*[1]Benefits!$F$18</f>
        <v>36149.225751978469</v>
      </c>
      <c r="S28" s="119">
        <f>S27*[1]Benefits!$F$18</f>
        <v>440.58493148779223</v>
      </c>
      <c r="T28" s="119">
        <f>T27*[1]Benefits!$F$18</f>
        <v>87914.991953426274</v>
      </c>
      <c r="U28" s="119">
        <f>U27*[1]Benefits!$F$18</f>
        <v>242598.65141807805</v>
      </c>
      <c r="V28" s="119">
        <f>V27*[1]Benefits!$F$18</f>
        <v>195608.76917685149</v>
      </c>
      <c r="W28" s="119">
        <f>W27*[1]Benefits!$F$18</f>
        <v>6294.0704498256036</v>
      </c>
      <c r="X28" s="119">
        <f>X27*[1]Benefits!$F$18</f>
        <v>0</v>
      </c>
      <c r="Y28" s="119">
        <f>Y27*[1]Benefits!$F$18</f>
        <v>64912.705269208818</v>
      </c>
      <c r="Z28" s="119">
        <f>Z27*[1]Benefits!$F$18</f>
        <v>96496.690195711999</v>
      </c>
      <c r="AA28" s="119">
        <f>AA27*[1]Benefits!$F$18</f>
        <v>8640.499913520589</v>
      </c>
      <c r="AB28" s="107">
        <f>AB27*[1]Benefits!$F$18</f>
        <v>52715.439674667548</v>
      </c>
      <c r="AC28" s="107">
        <f>AC27*[1]Benefits!$F$18</f>
        <v>14190.115098175464</v>
      </c>
      <c r="AD28" s="119">
        <f>AD27*[1]Benefits!$F$18</f>
        <v>19360.812466481548</v>
      </c>
      <c r="AE28" s="119">
        <f>AE27*[1]Benefits!$F$18</f>
        <v>0</v>
      </c>
      <c r="AF28" s="119">
        <f>AF27*[1]Benefits!$F$18</f>
        <v>0</v>
      </c>
      <c r="AG28" s="119">
        <f>AG27*[1]Benefits!$F$18</f>
        <v>0</v>
      </c>
      <c r="AH28" s="119">
        <f>AH27*[1]Benefits!$F$18</f>
        <v>91522.349883701114</v>
      </c>
      <c r="AI28" s="119">
        <f>AI27*[1]Benefits!$F$18</f>
        <v>206050.25586788662</v>
      </c>
      <c r="AJ28" s="119">
        <f>AJ27*[1]Benefits!$F$18</f>
        <v>128379.2435836917</v>
      </c>
      <c r="AK28" s="119">
        <f>AK27*[1]Benefits!$F$18</f>
        <v>71588.584548290528</v>
      </c>
      <c r="AL28" s="106">
        <f>AL27*[1]Benefits!$F$18</f>
        <v>7552.8845397907244</v>
      </c>
      <c r="AM28" s="119">
        <f>AM27*[1]Benefits!$F$18</f>
        <v>14035.273577475109</v>
      </c>
      <c r="AN28" s="119">
        <f>AN27*[1]Benefits!$F$18</f>
        <v>61677.04145641638</v>
      </c>
      <c r="AO28" s="119">
        <f>AO27*[1]Benefits!$F$18</f>
        <v>0</v>
      </c>
      <c r="AP28" s="119">
        <f>AP27*[1]Benefits!$F$18</f>
        <v>36307.602187893353</v>
      </c>
      <c r="AQ28" s="119">
        <f>AQ27*[1]Benefits!$F$18</f>
        <v>32925.541337127695</v>
      </c>
      <c r="AR28" s="119">
        <f>AR27*[1]Benefits!$F$18</f>
        <v>45317.307238744346</v>
      </c>
      <c r="AS28" s="119">
        <f>AS27*[1]Benefits!$F$18</f>
        <v>46352.230591305328</v>
      </c>
      <c r="AT28" s="119">
        <f>AT27*[1]Benefits!$F$18</f>
        <v>40291.581394226516</v>
      </c>
      <c r="AU28" s="119">
        <f>AU27*[1]Benefits!$F$18</f>
        <v>86029.098466830386</v>
      </c>
      <c r="AV28" s="119">
        <f>AV27*[1]Benefits!$F$18</f>
        <v>47383.776448831086</v>
      </c>
      <c r="AW28" s="119">
        <f>AW27*[1]Benefits!$F$18</f>
        <v>26328.700922383679</v>
      </c>
      <c r="AX28" s="119">
        <f>AX27*[1]Benefits!$F$18</f>
        <v>54458.915865198243</v>
      </c>
      <c r="AY28" s="119">
        <f>AY27*[1]Benefits!$F$18</f>
        <v>0</v>
      </c>
      <c r="AZ28" s="106">
        <f>AZ27*[1]Benefits!$F$18</f>
        <v>0</v>
      </c>
      <c r="BA28" s="119">
        <f>BA27*[1]Benefits!$F$18</f>
        <v>270049.15990613383</v>
      </c>
      <c r="BB28" s="119">
        <f>SUM(D28:BA28)</f>
        <v>3433209.2113361214</v>
      </c>
      <c r="BC28" s="120" t="s">
        <v>34</v>
      </c>
      <c r="BD28" s="121"/>
      <c r="BE28" s="121" t="b">
        <f>BB28=[1]Benefits!E19</f>
        <v>1</v>
      </c>
      <c r="BF28" s="122">
        <f>BB28/BB27</f>
        <v>0.25176281799302413</v>
      </c>
      <c r="BG28" s="121"/>
    </row>
    <row r="29" spans="1:59" s="86" customFormat="1" ht="12" customHeight="1">
      <c r="C29" s="86" t="s">
        <v>40</v>
      </c>
      <c r="D29" s="96"/>
      <c r="E29" s="106"/>
      <c r="F29" s="106"/>
      <c r="G29" s="106"/>
      <c r="H29" s="106"/>
      <c r="I29" s="106"/>
      <c r="J29" s="106"/>
      <c r="K29" s="106"/>
      <c r="L29" s="106">
        <v>0</v>
      </c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7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>
        <v>0</v>
      </c>
      <c r="AS29" s="106"/>
      <c r="AT29" s="106"/>
      <c r="AU29" s="106"/>
      <c r="AV29" s="106"/>
      <c r="AW29" s="106"/>
      <c r="AX29" s="106"/>
      <c r="AY29" s="106"/>
      <c r="AZ29" s="106"/>
      <c r="BA29" s="106">
        <f>'[1]Fixed Assets Detail (2)'!R1891</f>
        <v>1445086.8042968255</v>
      </c>
      <c r="BB29" s="17">
        <f>SUM(D29:BA29)</f>
        <v>1445086.8042968255</v>
      </c>
      <c r="BC29" s="123" t="s">
        <v>40</v>
      </c>
      <c r="BD29" s="124"/>
      <c r="BE29" s="103"/>
      <c r="BF29" s="103"/>
      <c r="BG29" s="103"/>
    </row>
    <row r="30" spans="1:59" s="86" customFormat="1">
      <c r="B30" s="86">
        <v>12</v>
      </c>
      <c r="C30" s="86" t="s">
        <v>39</v>
      </c>
      <c r="D30" s="96">
        <v>0</v>
      </c>
      <c r="E30" s="106">
        <v>0</v>
      </c>
      <c r="F30" s="106">
        <v>0</v>
      </c>
      <c r="G30" s="106"/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06">
        <v>0</v>
      </c>
      <c r="N30" s="106">
        <v>0</v>
      </c>
      <c r="O30" s="106">
        <v>0</v>
      </c>
      <c r="P30" s="106">
        <v>0</v>
      </c>
      <c r="Q30" s="106">
        <v>0</v>
      </c>
      <c r="R30" s="106">
        <v>0</v>
      </c>
      <c r="S30" s="106">
        <v>0</v>
      </c>
      <c r="T30" s="106">
        <v>0</v>
      </c>
      <c r="U30" s="106">
        <v>0</v>
      </c>
      <c r="V30" s="106">
        <v>0</v>
      </c>
      <c r="W30" s="106">
        <v>0</v>
      </c>
      <c r="X30" s="106">
        <v>0</v>
      </c>
      <c r="Y30" s="106">
        <v>0</v>
      </c>
      <c r="Z30" s="106">
        <v>0</v>
      </c>
      <c r="AA30" s="106">
        <v>0</v>
      </c>
      <c r="AB30" s="106">
        <v>0</v>
      </c>
      <c r="AC30" s="107">
        <v>0</v>
      </c>
      <c r="AD30" s="106">
        <v>0</v>
      </c>
      <c r="AE30" s="106">
        <v>0</v>
      </c>
      <c r="AF30" s="106">
        <v>0</v>
      </c>
      <c r="AG30" s="106">
        <v>0</v>
      </c>
      <c r="AH30" s="106">
        <v>0</v>
      </c>
      <c r="AI30" s="106">
        <v>0</v>
      </c>
      <c r="AJ30" s="17">
        <f>[31]Departmentals!$H$17</f>
        <v>58000</v>
      </c>
      <c r="AK30" s="106">
        <v>0</v>
      </c>
      <c r="AL30" s="106">
        <v>0</v>
      </c>
      <c r="AM30" s="106">
        <v>0</v>
      </c>
      <c r="AN30" s="106">
        <v>0</v>
      </c>
      <c r="AO30" s="106">
        <v>0</v>
      </c>
      <c r="AP30" s="106">
        <v>0</v>
      </c>
      <c r="AQ30" s="106">
        <v>0</v>
      </c>
      <c r="AR30" s="106">
        <v>0</v>
      </c>
      <c r="AS30" s="106">
        <v>0</v>
      </c>
      <c r="AT30" s="106">
        <v>0</v>
      </c>
      <c r="AU30" s="106">
        <v>0</v>
      </c>
      <c r="AV30" s="106">
        <v>0</v>
      </c>
      <c r="AW30" s="106">
        <v>0</v>
      </c>
      <c r="AX30" s="106">
        <v>0</v>
      </c>
      <c r="AY30" s="106">
        <v>0</v>
      </c>
      <c r="AZ30" s="106">
        <v>0</v>
      </c>
      <c r="BA30" s="106">
        <v>220000</v>
      </c>
      <c r="BB30" s="17">
        <f>SUM(D30:BA30)</f>
        <v>278000</v>
      </c>
      <c r="BC30" s="125" t="s">
        <v>39</v>
      </c>
      <c r="BD30" s="103" t="s">
        <v>118</v>
      </c>
      <c r="BE30" s="103"/>
      <c r="BF30" s="103"/>
      <c r="BG30" s="103"/>
    </row>
    <row r="31" spans="1:59">
      <c r="B31" s="3">
        <v>20</v>
      </c>
      <c r="C31" s="3" t="s">
        <v>35</v>
      </c>
      <c r="D31" s="88">
        <v>0</v>
      </c>
      <c r="E31" s="17">
        <v>0</v>
      </c>
      <c r="F31" s="17">
        <v>0</v>
      </c>
      <c r="G31" s="17"/>
      <c r="H31" s="17">
        <v>0</v>
      </c>
      <c r="I31" s="17"/>
      <c r="J31" s="106">
        <v>0</v>
      </c>
      <c r="K31" s="17">
        <v>0</v>
      </c>
      <c r="L31" s="106">
        <v>0</v>
      </c>
      <c r="M31" s="106">
        <v>0</v>
      </c>
      <c r="N31" s="106">
        <v>0</v>
      </c>
      <c r="O31" s="106">
        <v>0</v>
      </c>
      <c r="P31" s="106">
        <v>0</v>
      </c>
      <c r="Q31" s="106">
        <v>0</v>
      </c>
      <c r="R31" s="106">
        <v>0</v>
      </c>
      <c r="S31" s="17">
        <v>0</v>
      </c>
      <c r="T31" s="106">
        <v>0</v>
      </c>
      <c r="U31" s="106">
        <v>0</v>
      </c>
      <c r="V31" s="106">
        <v>0</v>
      </c>
      <c r="W31" s="106">
        <v>0</v>
      </c>
      <c r="X31" s="17">
        <v>0</v>
      </c>
      <c r="Y31" s="106">
        <v>0</v>
      </c>
      <c r="Z31" s="106">
        <v>0</v>
      </c>
      <c r="AA31" s="106">
        <v>0</v>
      </c>
      <c r="AB31" s="106">
        <v>0</v>
      </c>
      <c r="AC31" s="107"/>
      <c r="AD31" s="106">
        <v>0</v>
      </c>
      <c r="AE31" s="106">
        <v>0</v>
      </c>
      <c r="AF31" s="106">
        <v>0</v>
      </c>
      <c r="AG31" s="106">
        <v>0</v>
      </c>
      <c r="AH31" s="106">
        <v>0</v>
      </c>
      <c r="AI31" s="106">
        <v>0</v>
      </c>
      <c r="AJ31" s="17">
        <v>0</v>
      </c>
      <c r="AK31" s="17">
        <v>0</v>
      </c>
      <c r="AL31" s="106"/>
      <c r="AM31" s="17">
        <v>0</v>
      </c>
      <c r="AN31" s="106">
        <v>0</v>
      </c>
      <c r="AO31" s="17">
        <v>0</v>
      </c>
      <c r="AP31" s="106">
        <v>0</v>
      </c>
      <c r="AQ31" s="106">
        <v>0</v>
      </c>
      <c r="AR31" s="106">
        <v>0</v>
      </c>
      <c r="AS31" s="106">
        <v>0</v>
      </c>
      <c r="AT31" s="106">
        <v>0</v>
      </c>
      <c r="AU31" s="106">
        <v>0</v>
      </c>
      <c r="AV31" s="106">
        <v>0</v>
      </c>
      <c r="AW31" s="17">
        <v>0</v>
      </c>
      <c r="AX31" s="17">
        <v>0</v>
      </c>
      <c r="AY31" s="17">
        <v>0</v>
      </c>
      <c r="AZ31" s="106"/>
      <c r="BA31" s="17"/>
      <c r="BB31" s="17">
        <f t="shared" ref="BB31:BB73" si="7">SUM(D31:BA31)</f>
        <v>0</v>
      </c>
      <c r="BC31" s="126" t="s">
        <v>35</v>
      </c>
      <c r="BD31" s="23"/>
      <c r="BE31" s="23"/>
      <c r="BF31" s="23"/>
      <c r="BG31" s="23"/>
    </row>
    <row r="32" spans="1:59">
      <c r="B32" s="3">
        <v>21</v>
      </c>
      <c r="C32" s="3" t="s">
        <v>119</v>
      </c>
      <c r="D32" s="88">
        <v>0</v>
      </c>
      <c r="E32" s="17">
        <v>0</v>
      </c>
      <c r="F32" s="17">
        <v>0</v>
      </c>
      <c r="G32" s="17"/>
      <c r="H32" s="17">
        <v>0</v>
      </c>
      <c r="I32" s="17"/>
      <c r="J32" s="106">
        <v>0</v>
      </c>
      <c r="K32" s="17">
        <v>0</v>
      </c>
      <c r="L32" s="106">
        <v>0</v>
      </c>
      <c r="M32" s="106">
        <f>[9]Departmentals!$H$18</f>
        <v>34000</v>
      </c>
      <c r="N32" s="106">
        <v>0</v>
      </c>
      <c r="O32" s="106">
        <v>0</v>
      </c>
      <c r="P32" s="106">
        <v>0</v>
      </c>
      <c r="Q32" s="106">
        <v>0</v>
      </c>
      <c r="R32" s="106">
        <v>0</v>
      </c>
      <c r="S32" s="17">
        <v>0</v>
      </c>
      <c r="T32" s="106">
        <v>0</v>
      </c>
      <c r="U32" s="106">
        <v>0</v>
      </c>
      <c r="V32" s="106">
        <v>0</v>
      </c>
      <c r="W32" s="106">
        <v>0</v>
      </c>
      <c r="X32" s="17">
        <f>[20]Departmentals!$H$20</f>
        <v>25000</v>
      </c>
      <c r="Y32" s="106">
        <v>0</v>
      </c>
      <c r="Z32" s="106">
        <v>0</v>
      </c>
      <c r="AA32" s="106">
        <v>0</v>
      </c>
      <c r="AB32" s="106">
        <v>0</v>
      </c>
      <c r="AC32" s="107"/>
      <c r="AD32" s="106">
        <v>0</v>
      </c>
      <c r="AE32" s="106">
        <v>0</v>
      </c>
      <c r="AF32" s="106">
        <v>0</v>
      </c>
      <c r="AG32" s="106">
        <v>0</v>
      </c>
      <c r="AH32" s="106">
        <v>0</v>
      </c>
      <c r="AI32" s="106">
        <v>0</v>
      </c>
      <c r="AJ32" s="17">
        <v>0</v>
      </c>
      <c r="AK32" s="17">
        <v>0</v>
      </c>
      <c r="AL32" s="106"/>
      <c r="AM32" s="17">
        <v>0</v>
      </c>
      <c r="AN32" s="106">
        <v>0</v>
      </c>
      <c r="AO32" s="17">
        <v>0</v>
      </c>
      <c r="AP32" s="106">
        <v>0</v>
      </c>
      <c r="AQ32" s="106">
        <v>0</v>
      </c>
      <c r="AR32" s="106">
        <v>0</v>
      </c>
      <c r="AS32" s="106">
        <v>0</v>
      </c>
      <c r="AT32" s="106">
        <v>0</v>
      </c>
      <c r="AU32" s="106">
        <v>0</v>
      </c>
      <c r="AV32" s="106">
        <v>0</v>
      </c>
      <c r="AW32" s="17">
        <v>0</v>
      </c>
      <c r="AX32" s="17">
        <v>0</v>
      </c>
      <c r="AY32" s="17">
        <v>0</v>
      </c>
      <c r="AZ32" s="106"/>
      <c r="BA32" s="17"/>
      <c r="BB32" s="17">
        <f t="shared" si="7"/>
        <v>59000</v>
      </c>
      <c r="BC32" s="126" t="s">
        <v>35</v>
      </c>
      <c r="BD32" s="23" t="s">
        <v>118</v>
      </c>
      <c r="BE32" s="23"/>
      <c r="BF32" s="23"/>
      <c r="BG32" s="23"/>
    </row>
    <row r="33" spans="2:59">
      <c r="B33" s="3">
        <v>23</v>
      </c>
      <c r="C33" s="3" t="s">
        <v>120</v>
      </c>
      <c r="D33" s="88">
        <v>0</v>
      </c>
      <c r="E33" s="17">
        <v>0</v>
      </c>
      <c r="F33" s="17">
        <v>0</v>
      </c>
      <c r="G33" s="17"/>
      <c r="H33" s="17">
        <v>0</v>
      </c>
      <c r="I33" s="17"/>
      <c r="J33" s="106">
        <v>0</v>
      </c>
      <c r="K33" s="17">
        <v>0</v>
      </c>
      <c r="L33" s="106">
        <v>0</v>
      </c>
      <c r="M33" s="106">
        <v>0</v>
      </c>
      <c r="N33" s="106">
        <v>0</v>
      </c>
      <c r="O33" s="106">
        <v>0</v>
      </c>
      <c r="P33" s="106">
        <v>0</v>
      </c>
      <c r="Q33" s="106">
        <v>0</v>
      </c>
      <c r="R33" s="106">
        <v>0</v>
      </c>
      <c r="S33" s="17">
        <v>0</v>
      </c>
      <c r="T33" s="106">
        <v>0</v>
      </c>
      <c r="U33" s="106">
        <v>0</v>
      </c>
      <c r="V33" s="106">
        <v>0</v>
      </c>
      <c r="W33" s="106">
        <v>0</v>
      </c>
      <c r="X33" s="17">
        <v>0</v>
      </c>
      <c r="Y33" s="106">
        <v>0</v>
      </c>
      <c r="Z33" s="106">
        <v>0</v>
      </c>
      <c r="AA33" s="106">
        <v>0</v>
      </c>
      <c r="AB33" s="106">
        <v>0</v>
      </c>
      <c r="AC33" s="107"/>
      <c r="AD33" s="106">
        <v>0</v>
      </c>
      <c r="AE33" s="106">
        <v>0</v>
      </c>
      <c r="AF33" s="106">
        <v>0</v>
      </c>
      <c r="AG33" s="106">
        <v>0</v>
      </c>
      <c r="AH33" s="106">
        <v>0</v>
      </c>
      <c r="AI33" s="106">
        <v>0</v>
      </c>
      <c r="AJ33" s="17">
        <v>0</v>
      </c>
      <c r="AK33" s="17">
        <v>0</v>
      </c>
      <c r="AL33" s="106"/>
      <c r="AM33" s="17">
        <v>0</v>
      </c>
      <c r="AN33" s="106">
        <v>0</v>
      </c>
      <c r="AO33" s="17">
        <v>0</v>
      </c>
      <c r="AP33" s="106">
        <v>0</v>
      </c>
      <c r="AQ33" s="106">
        <v>0</v>
      </c>
      <c r="AR33" s="106">
        <f>[38]Departmentals!$H$17</f>
        <v>87200</v>
      </c>
      <c r="AS33" s="106">
        <f>[39]Departmentals!$H$16</f>
        <v>5000</v>
      </c>
      <c r="AT33" s="106">
        <v>0</v>
      </c>
      <c r="AU33" s="106">
        <v>0</v>
      </c>
      <c r="AV33" s="106">
        <f>[42]Departmentals!$H$16</f>
        <v>20000</v>
      </c>
      <c r="AW33" s="17">
        <v>0</v>
      </c>
      <c r="AX33" s="17">
        <v>0</v>
      </c>
      <c r="AY33" s="17">
        <v>0</v>
      </c>
      <c r="AZ33" s="106"/>
      <c r="BA33" s="17"/>
      <c r="BB33" s="17">
        <f t="shared" si="7"/>
        <v>112200</v>
      </c>
      <c r="BC33" s="126" t="s">
        <v>35</v>
      </c>
      <c r="BD33" s="23" t="s">
        <v>118</v>
      </c>
      <c r="BE33" s="23"/>
      <c r="BF33" s="23"/>
      <c r="BG33" s="23"/>
    </row>
    <row r="34" spans="2:59">
      <c r="B34" s="3">
        <v>24</v>
      </c>
      <c r="C34" s="3" t="s">
        <v>121</v>
      </c>
      <c r="D34" s="88">
        <v>0</v>
      </c>
      <c r="E34" s="17">
        <v>0</v>
      </c>
      <c r="F34" s="17">
        <v>0</v>
      </c>
      <c r="G34" s="17"/>
      <c r="H34" s="17">
        <v>0</v>
      </c>
      <c r="I34" s="17"/>
      <c r="J34" s="106">
        <v>0</v>
      </c>
      <c r="K34" s="17">
        <v>0</v>
      </c>
      <c r="L34" s="106">
        <v>0</v>
      </c>
      <c r="M34" s="106">
        <v>0</v>
      </c>
      <c r="N34" s="106">
        <v>0</v>
      </c>
      <c r="O34" s="106">
        <v>0</v>
      </c>
      <c r="P34" s="106">
        <v>0</v>
      </c>
      <c r="Q34" s="106">
        <v>0</v>
      </c>
      <c r="R34" s="106">
        <v>0</v>
      </c>
      <c r="S34" s="17">
        <v>0</v>
      </c>
      <c r="T34" s="106">
        <v>0</v>
      </c>
      <c r="U34" s="106">
        <v>0</v>
      </c>
      <c r="V34" s="106">
        <v>0</v>
      </c>
      <c r="W34" s="106">
        <v>0</v>
      </c>
      <c r="X34" s="17">
        <v>0</v>
      </c>
      <c r="Y34" s="106">
        <v>0</v>
      </c>
      <c r="Z34" s="106">
        <v>0</v>
      </c>
      <c r="AA34" s="106">
        <v>0</v>
      </c>
      <c r="AB34" s="106">
        <v>0</v>
      </c>
      <c r="AC34" s="107"/>
      <c r="AD34" s="106">
        <v>0</v>
      </c>
      <c r="AE34" s="106">
        <v>0</v>
      </c>
      <c r="AF34" s="106">
        <v>0</v>
      </c>
      <c r="AG34" s="106">
        <v>0</v>
      </c>
      <c r="AH34" s="106">
        <v>0</v>
      </c>
      <c r="AI34" s="106">
        <v>0</v>
      </c>
      <c r="AJ34" s="17">
        <v>0</v>
      </c>
      <c r="AK34" s="17">
        <v>0</v>
      </c>
      <c r="AL34" s="106"/>
      <c r="AM34" s="17">
        <v>0</v>
      </c>
      <c r="AN34" s="106">
        <v>0</v>
      </c>
      <c r="AO34" s="17">
        <v>0</v>
      </c>
      <c r="AP34" s="106">
        <v>0</v>
      </c>
      <c r="AQ34" s="106">
        <v>0</v>
      </c>
      <c r="AR34" s="106">
        <f>[38]Departmentals!$H$18</f>
        <v>20000</v>
      </c>
      <c r="AS34" s="106">
        <v>0</v>
      </c>
      <c r="AT34" s="106">
        <v>0</v>
      </c>
      <c r="AU34" s="106">
        <v>0</v>
      </c>
      <c r="AV34" s="106">
        <f>[42]Departmentals!$H$17</f>
        <v>10000</v>
      </c>
      <c r="AW34" s="17">
        <v>0</v>
      </c>
      <c r="AX34" s="17">
        <v>0</v>
      </c>
      <c r="AY34" s="17">
        <v>0</v>
      </c>
      <c r="AZ34" s="106"/>
      <c r="BA34" s="17"/>
      <c r="BB34" s="17">
        <f t="shared" si="7"/>
        <v>30000</v>
      </c>
      <c r="BC34" s="126" t="s">
        <v>35</v>
      </c>
      <c r="BD34" s="23" t="s">
        <v>118</v>
      </c>
      <c r="BE34" s="23"/>
      <c r="BF34" s="23"/>
      <c r="BG34" s="23"/>
    </row>
    <row r="35" spans="2:59">
      <c r="B35" s="3">
        <v>25</v>
      </c>
      <c r="C35" s="3" t="s">
        <v>122</v>
      </c>
      <c r="D35" s="88">
        <v>0</v>
      </c>
      <c r="E35" s="17">
        <v>0</v>
      </c>
      <c r="F35" s="17">
        <v>0</v>
      </c>
      <c r="G35" s="17"/>
      <c r="H35" s="17">
        <v>0</v>
      </c>
      <c r="I35" s="17"/>
      <c r="J35" s="106">
        <v>0</v>
      </c>
      <c r="K35" s="17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0</v>
      </c>
      <c r="Q35" s="106">
        <v>0</v>
      </c>
      <c r="R35" s="106">
        <v>0</v>
      </c>
      <c r="S35" s="17">
        <v>0</v>
      </c>
      <c r="T35" s="106">
        <v>0</v>
      </c>
      <c r="U35" s="106">
        <v>0</v>
      </c>
      <c r="V35" s="106">
        <v>0</v>
      </c>
      <c r="W35" s="106">
        <v>0</v>
      </c>
      <c r="X35" s="17">
        <v>0</v>
      </c>
      <c r="Y35" s="106">
        <v>0</v>
      </c>
      <c r="Z35" s="106">
        <v>0</v>
      </c>
      <c r="AA35" s="106">
        <v>0</v>
      </c>
      <c r="AB35" s="106">
        <v>0</v>
      </c>
      <c r="AC35" s="107"/>
      <c r="AD35" s="106">
        <v>0</v>
      </c>
      <c r="AE35" s="106">
        <v>0</v>
      </c>
      <c r="AF35" s="106">
        <v>0</v>
      </c>
      <c r="AG35" s="106">
        <v>0</v>
      </c>
      <c r="AH35" s="106">
        <v>0</v>
      </c>
      <c r="AI35" s="106">
        <v>0</v>
      </c>
      <c r="AJ35" s="17">
        <v>0</v>
      </c>
      <c r="AK35" s="17">
        <v>0</v>
      </c>
      <c r="AL35" s="106"/>
      <c r="AM35" s="17">
        <v>0</v>
      </c>
      <c r="AN35" s="106">
        <v>0</v>
      </c>
      <c r="AO35" s="17">
        <v>0</v>
      </c>
      <c r="AP35" s="106">
        <v>0</v>
      </c>
      <c r="AQ35" s="106">
        <v>0</v>
      </c>
      <c r="AR35" s="106">
        <v>0</v>
      </c>
      <c r="AS35" s="106">
        <f>[39]Departmentals!$H$17</f>
        <v>47500</v>
      </c>
      <c r="AT35" s="106">
        <v>0</v>
      </c>
      <c r="AU35" s="106">
        <v>0</v>
      </c>
      <c r="AV35" s="106">
        <v>0</v>
      </c>
      <c r="AW35" s="17">
        <v>0</v>
      </c>
      <c r="AX35" s="17">
        <v>0</v>
      </c>
      <c r="AY35" s="17">
        <v>0</v>
      </c>
      <c r="AZ35" s="106"/>
      <c r="BA35" s="17"/>
      <c r="BB35" s="17">
        <f t="shared" si="7"/>
        <v>47500</v>
      </c>
      <c r="BC35" s="126" t="s">
        <v>35</v>
      </c>
      <c r="BD35" s="23" t="s">
        <v>118</v>
      </c>
      <c r="BE35" s="23"/>
      <c r="BF35" s="23"/>
      <c r="BG35" s="23"/>
    </row>
    <row r="36" spans="2:59">
      <c r="B36" s="3">
        <v>30</v>
      </c>
      <c r="C36" s="3" t="s">
        <v>123</v>
      </c>
      <c r="D36" s="88">
        <f>[2]Departmentals!$H$17</f>
        <v>1486.8480000000002</v>
      </c>
      <c r="E36" s="17">
        <f>[3]Departmentals!$H$19</f>
        <v>28509</v>
      </c>
      <c r="F36" s="17">
        <f>[4]Departmentals!$H$19</f>
        <v>29514.52</v>
      </c>
      <c r="G36" s="17"/>
      <c r="H36" s="17">
        <v>0</v>
      </c>
      <c r="I36" s="17"/>
      <c r="J36" s="106">
        <v>0</v>
      </c>
      <c r="K36" s="17">
        <f>[7]Departmentals!$H$18</f>
        <v>635412</v>
      </c>
      <c r="L36" s="106">
        <f>[8]Departmentals!$H$18</f>
        <v>14000</v>
      </c>
      <c r="M36" s="106">
        <f>[9]Departmentals!$H$20</f>
        <v>405841.28</v>
      </c>
      <c r="N36" s="106">
        <v>0</v>
      </c>
      <c r="O36" s="106">
        <f>[11]Departmentals!$J$19</f>
        <v>4743.66</v>
      </c>
      <c r="P36" s="106">
        <f>[12]Departmentals!$H$18</f>
        <v>800</v>
      </c>
      <c r="Q36" s="106">
        <v>0</v>
      </c>
      <c r="R36" s="106">
        <f>[14]Departmentals!$H$18</f>
        <v>2736</v>
      </c>
      <c r="S36" s="17">
        <v>0</v>
      </c>
      <c r="T36" s="106">
        <f>[16]Departmentals!$H$18</f>
        <v>4500</v>
      </c>
      <c r="U36" s="106">
        <v>0</v>
      </c>
      <c r="V36" s="106">
        <f>[18]Departmentals!$H$19</f>
        <v>50000</v>
      </c>
      <c r="W36" s="106">
        <v>0</v>
      </c>
      <c r="X36" s="17">
        <v>0</v>
      </c>
      <c r="Y36" s="106">
        <f>[21]Departmentals!$H$18</f>
        <v>1500</v>
      </c>
      <c r="Z36" s="106">
        <f>[22]Departmentals!$H$18</f>
        <v>2831.7420000000002</v>
      </c>
      <c r="AA36" s="106">
        <v>0</v>
      </c>
      <c r="AB36" s="106">
        <v>0</v>
      </c>
      <c r="AC36" s="107"/>
      <c r="AD36" s="106">
        <v>0</v>
      </c>
      <c r="AE36" s="106">
        <v>0</v>
      </c>
      <c r="AF36" s="106">
        <v>0</v>
      </c>
      <c r="AG36" s="106">
        <v>0</v>
      </c>
      <c r="AH36" s="106">
        <v>0</v>
      </c>
      <c r="AI36" s="106">
        <v>0</v>
      </c>
      <c r="AJ36" s="17">
        <f>[31]Departmentals!$H$20</f>
        <v>75500</v>
      </c>
      <c r="AK36" s="17">
        <v>0</v>
      </c>
      <c r="AL36" s="106"/>
      <c r="AM36" s="17">
        <v>0</v>
      </c>
      <c r="AN36" s="106">
        <v>0</v>
      </c>
      <c r="AO36" s="17">
        <v>0</v>
      </c>
      <c r="AP36" s="106">
        <v>0</v>
      </c>
      <c r="AQ36" s="106">
        <v>0</v>
      </c>
      <c r="AR36" s="106">
        <v>0</v>
      </c>
      <c r="AS36" s="106">
        <v>0</v>
      </c>
      <c r="AT36" s="106">
        <v>0</v>
      </c>
      <c r="AU36" s="106">
        <v>0</v>
      </c>
      <c r="AV36" s="106">
        <v>0</v>
      </c>
      <c r="AW36" s="17">
        <v>0</v>
      </c>
      <c r="AX36" s="17">
        <v>0</v>
      </c>
      <c r="AY36" s="17">
        <v>0</v>
      </c>
      <c r="AZ36" s="106"/>
      <c r="BA36" s="127">
        <f>'[1]Inflation Matrix'!R7-100000+62000-1109</f>
        <v>4911.5976500000033</v>
      </c>
      <c r="BB36" s="17">
        <f t="shared" si="7"/>
        <v>1262286.6476499999</v>
      </c>
      <c r="BC36" s="128" t="s">
        <v>36</v>
      </c>
      <c r="BD36" s="23" t="s">
        <v>124</v>
      </c>
      <c r="BE36" s="23"/>
      <c r="BF36" s="23"/>
      <c r="BG36" s="23"/>
    </row>
    <row r="37" spans="2:59">
      <c r="B37" s="3">
        <v>34</v>
      </c>
      <c r="C37" s="3" t="s">
        <v>125</v>
      </c>
      <c r="D37" s="88">
        <v>0</v>
      </c>
      <c r="E37" s="17">
        <v>0</v>
      </c>
      <c r="F37" s="17">
        <v>0</v>
      </c>
      <c r="G37" s="17"/>
      <c r="H37" s="17">
        <v>0</v>
      </c>
      <c r="I37" s="17"/>
      <c r="J37" s="106">
        <v>0</v>
      </c>
      <c r="K37" s="17">
        <v>0</v>
      </c>
      <c r="L37" s="106">
        <v>0</v>
      </c>
      <c r="M37" s="106">
        <v>0</v>
      </c>
      <c r="N37" s="106">
        <v>0</v>
      </c>
      <c r="O37" s="106">
        <v>0</v>
      </c>
      <c r="P37" s="106">
        <v>0</v>
      </c>
      <c r="Q37" s="106">
        <v>0</v>
      </c>
      <c r="R37" s="106">
        <f>[14]Departmentals!$H$19</f>
        <v>12197</v>
      </c>
      <c r="S37" s="17">
        <v>0</v>
      </c>
      <c r="T37" s="106">
        <v>0</v>
      </c>
      <c r="U37" s="106">
        <v>0</v>
      </c>
      <c r="V37" s="106">
        <v>0</v>
      </c>
      <c r="W37" s="106">
        <v>0</v>
      </c>
      <c r="X37" s="17">
        <v>0</v>
      </c>
      <c r="Y37" s="106">
        <v>0</v>
      </c>
      <c r="Z37" s="106">
        <v>0</v>
      </c>
      <c r="AA37" s="106">
        <v>0</v>
      </c>
      <c r="AB37" s="106">
        <v>0</v>
      </c>
      <c r="AC37" s="107"/>
      <c r="AD37" s="106">
        <v>0</v>
      </c>
      <c r="AE37" s="106">
        <v>0</v>
      </c>
      <c r="AF37" s="106">
        <v>0</v>
      </c>
      <c r="AG37" s="106">
        <v>0</v>
      </c>
      <c r="AH37" s="106">
        <v>0</v>
      </c>
      <c r="AI37" s="106">
        <f>'[30]New 678'!$H$19</f>
        <v>800</v>
      </c>
      <c r="AJ37" s="17">
        <f>[31]Departmentals!$H$21</f>
        <v>900</v>
      </c>
      <c r="AK37" s="17">
        <v>0</v>
      </c>
      <c r="AL37" s="106"/>
      <c r="AM37" s="17">
        <v>0</v>
      </c>
      <c r="AN37" s="106">
        <v>0</v>
      </c>
      <c r="AO37" s="17">
        <v>0</v>
      </c>
      <c r="AP37" s="106">
        <v>0</v>
      </c>
      <c r="AQ37" s="106">
        <v>0</v>
      </c>
      <c r="AR37" s="106">
        <v>0</v>
      </c>
      <c r="AS37" s="106">
        <v>0</v>
      </c>
      <c r="AT37" s="106">
        <v>0</v>
      </c>
      <c r="AU37" s="106">
        <v>0</v>
      </c>
      <c r="AV37" s="106">
        <v>0</v>
      </c>
      <c r="AW37" s="17">
        <v>0</v>
      </c>
      <c r="AX37" s="17">
        <v>0</v>
      </c>
      <c r="AY37" s="17">
        <v>0</v>
      </c>
      <c r="AZ37" s="106"/>
      <c r="BA37" s="17"/>
      <c r="BB37" s="17">
        <f t="shared" si="7"/>
        <v>13897</v>
      </c>
      <c r="BC37" s="128" t="s">
        <v>36</v>
      </c>
      <c r="BD37" s="23" t="s">
        <v>126</v>
      </c>
      <c r="BE37" s="23"/>
      <c r="BF37" s="23"/>
      <c r="BG37" s="23"/>
    </row>
    <row r="38" spans="2:59">
      <c r="B38" s="3">
        <v>35</v>
      </c>
      <c r="C38" s="3" t="s">
        <v>127</v>
      </c>
      <c r="D38" s="88">
        <v>0</v>
      </c>
      <c r="E38" s="17">
        <v>0</v>
      </c>
      <c r="F38" s="17">
        <v>0</v>
      </c>
      <c r="G38" s="17"/>
      <c r="H38" s="17">
        <v>0</v>
      </c>
      <c r="I38" s="17"/>
      <c r="J38" s="106">
        <v>0</v>
      </c>
      <c r="K38" s="17">
        <v>0</v>
      </c>
      <c r="L38" s="106">
        <v>0</v>
      </c>
      <c r="M38" s="106">
        <v>0</v>
      </c>
      <c r="N38" s="106">
        <v>0</v>
      </c>
      <c r="O38" s="106">
        <v>0</v>
      </c>
      <c r="P38" s="106">
        <f>[12]Departmentals!$H$19</f>
        <v>13200</v>
      </c>
      <c r="Q38" s="106">
        <v>0</v>
      </c>
      <c r="R38" s="106">
        <v>0</v>
      </c>
      <c r="S38" s="17">
        <v>0</v>
      </c>
      <c r="T38" s="106">
        <v>0</v>
      </c>
      <c r="U38" s="106">
        <v>0</v>
      </c>
      <c r="V38" s="106">
        <v>0</v>
      </c>
      <c r="W38" s="106">
        <v>0</v>
      </c>
      <c r="X38" s="17">
        <v>0</v>
      </c>
      <c r="Y38" s="106">
        <v>0</v>
      </c>
      <c r="Z38" s="106">
        <v>0</v>
      </c>
      <c r="AA38" s="106">
        <v>0</v>
      </c>
      <c r="AB38" s="106">
        <v>0</v>
      </c>
      <c r="AC38" s="107"/>
      <c r="AD38" s="106">
        <v>0</v>
      </c>
      <c r="AE38" s="106">
        <v>0</v>
      </c>
      <c r="AF38" s="106">
        <v>0</v>
      </c>
      <c r="AG38" s="106">
        <v>0</v>
      </c>
      <c r="AH38" s="106">
        <v>0</v>
      </c>
      <c r="AI38" s="106">
        <v>0</v>
      </c>
      <c r="AJ38" s="17">
        <f>[31]Departmentals!$H$18</f>
        <v>0</v>
      </c>
      <c r="AK38" s="17">
        <v>0</v>
      </c>
      <c r="AL38" s="106"/>
      <c r="AM38" s="17">
        <v>0</v>
      </c>
      <c r="AN38" s="106">
        <v>0</v>
      </c>
      <c r="AO38" s="17">
        <v>0</v>
      </c>
      <c r="AP38" s="106">
        <v>0</v>
      </c>
      <c r="AQ38" s="106">
        <v>0</v>
      </c>
      <c r="AR38" s="106">
        <v>0</v>
      </c>
      <c r="AS38" s="106">
        <v>0</v>
      </c>
      <c r="AT38" s="106">
        <v>0</v>
      </c>
      <c r="AU38" s="106">
        <v>0</v>
      </c>
      <c r="AV38" s="106">
        <v>0</v>
      </c>
      <c r="AW38" s="17">
        <v>0</v>
      </c>
      <c r="AX38" s="17">
        <v>0</v>
      </c>
      <c r="AY38" s="17">
        <v>0</v>
      </c>
      <c r="AZ38" s="106"/>
      <c r="BA38" s="17"/>
      <c r="BB38" s="17">
        <f t="shared" si="7"/>
        <v>13200</v>
      </c>
      <c r="BC38" s="128" t="s">
        <v>36</v>
      </c>
      <c r="BD38" s="23" t="s">
        <v>126</v>
      </c>
      <c r="BE38" s="23"/>
      <c r="BF38" s="23"/>
      <c r="BG38" s="23"/>
    </row>
    <row r="39" spans="2:59">
      <c r="B39" s="3">
        <v>36</v>
      </c>
      <c r="C39" s="3" t="s">
        <v>126</v>
      </c>
      <c r="D39" s="88">
        <v>0</v>
      </c>
      <c r="E39" s="17">
        <f>[3]Departmentals!$H$20</f>
        <v>2402</v>
      </c>
      <c r="F39" s="17">
        <f>'[4]Dept by SU '!$L$20</f>
        <v>100.69</v>
      </c>
      <c r="G39" s="17"/>
      <c r="H39" s="17">
        <f>[5]Departmentals!$H$19</f>
        <v>13650</v>
      </c>
      <c r="I39" s="17"/>
      <c r="J39" s="106">
        <v>0</v>
      </c>
      <c r="K39" s="17">
        <v>0</v>
      </c>
      <c r="L39" s="106">
        <f>[8]Departmentals!$H$21</f>
        <v>12000</v>
      </c>
      <c r="M39" s="106">
        <v>0</v>
      </c>
      <c r="N39" s="106">
        <v>0</v>
      </c>
      <c r="O39" s="106">
        <f>[11]Departmentals!$J$20</f>
        <v>10243</v>
      </c>
      <c r="P39" s="106">
        <f>[12]Departmentals!$H$20</f>
        <v>281264</v>
      </c>
      <c r="Q39" s="106">
        <v>0</v>
      </c>
      <c r="R39" s="106">
        <f>[14]Departmentals!$H$20</f>
        <v>1600</v>
      </c>
      <c r="S39" s="17">
        <v>0</v>
      </c>
      <c r="T39" s="106">
        <f>[16]Departmentals!$H$19</f>
        <v>300</v>
      </c>
      <c r="U39" s="106">
        <v>0</v>
      </c>
      <c r="V39" s="106">
        <f>[18]Departmentals!$H$20</f>
        <v>7000</v>
      </c>
      <c r="W39" s="106">
        <v>0</v>
      </c>
      <c r="X39" s="17">
        <v>0</v>
      </c>
      <c r="Y39" s="106">
        <f>[21]Departmentals!$H$19</f>
        <v>750</v>
      </c>
      <c r="Z39" s="106">
        <f>[22]Departmentals!$H$20</f>
        <v>811.15200000000004</v>
      </c>
      <c r="AA39" s="106">
        <v>0</v>
      </c>
      <c r="AB39" s="106">
        <v>0</v>
      </c>
      <c r="AC39" s="107"/>
      <c r="AD39" s="106">
        <v>0</v>
      </c>
      <c r="AE39" s="106">
        <v>0</v>
      </c>
      <c r="AF39" s="106">
        <v>0</v>
      </c>
      <c r="AG39" s="106">
        <v>0</v>
      </c>
      <c r="AH39" s="106">
        <v>0</v>
      </c>
      <c r="AI39" s="106">
        <f>'[30]New 678'!$H$21</f>
        <v>32000</v>
      </c>
      <c r="AJ39" s="17">
        <f>[31]Departmentals!$H$22</f>
        <v>40000</v>
      </c>
      <c r="AK39" s="17">
        <v>0</v>
      </c>
      <c r="AL39" s="106"/>
      <c r="AM39" s="17">
        <v>0</v>
      </c>
      <c r="AN39" s="106">
        <v>0</v>
      </c>
      <c r="AO39" s="17">
        <v>0</v>
      </c>
      <c r="AP39" s="106">
        <v>0</v>
      </c>
      <c r="AQ39" s="106">
        <v>0</v>
      </c>
      <c r="AR39" s="106">
        <v>0</v>
      </c>
      <c r="AS39" s="106">
        <v>0</v>
      </c>
      <c r="AT39" s="106">
        <v>0</v>
      </c>
      <c r="AU39" s="106">
        <v>0</v>
      </c>
      <c r="AV39" s="106">
        <v>0</v>
      </c>
      <c r="AW39" s="17">
        <v>0</v>
      </c>
      <c r="AX39" s="17">
        <v>0</v>
      </c>
      <c r="AY39" s="17">
        <v>0</v>
      </c>
      <c r="AZ39" s="106"/>
      <c r="BA39" s="127">
        <f>'[1]Inflation Matrix'!R13</f>
        <v>21460.892100000001</v>
      </c>
      <c r="BB39" s="17">
        <f t="shared" si="7"/>
        <v>423581.7341</v>
      </c>
      <c r="BC39" s="128" t="s">
        <v>36</v>
      </c>
      <c r="BD39" s="23" t="s">
        <v>126</v>
      </c>
      <c r="BE39" s="23"/>
      <c r="BF39" s="23"/>
      <c r="BG39" s="23"/>
    </row>
    <row r="40" spans="2:59">
      <c r="B40" s="3">
        <v>38</v>
      </c>
      <c r="C40" s="3" t="s">
        <v>128</v>
      </c>
      <c r="D40" s="88">
        <v>0</v>
      </c>
      <c r="E40" s="17">
        <v>0</v>
      </c>
      <c r="F40" s="17">
        <v>0</v>
      </c>
      <c r="G40" s="17"/>
      <c r="H40" s="17">
        <v>0</v>
      </c>
      <c r="I40" s="17"/>
      <c r="J40" s="106">
        <v>0</v>
      </c>
      <c r="K40" s="17">
        <v>0</v>
      </c>
      <c r="L40" s="106">
        <v>0</v>
      </c>
      <c r="M40" s="106">
        <v>0</v>
      </c>
      <c r="N40" s="106">
        <v>0</v>
      </c>
      <c r="O40" s="106">
        <f>[11]Departmentals!$J$21</f>
        <v>604</v>
      </c>
      <c r="P40" s="106">
        <v>0</v>
      </c>
      <c r="Q40" s="106">
        <v>0</v>
      </c>
      <c r="R40" s="106">
        <v>0</v>
      </c>
      <c r="S40" s="17">
        <v>0</v>
      </c>
      <c r="T40" s="106">
        <v>0</v>
      </c>
      <c r="U40" s="106">
        <v>0</v>
      </c>
      <c r="V40" s="106">
        <v>0</v>
      </c>
      <c r="W40" s="106">
        <v>0</v>
      </c>
      <c r="X40" s="17">
        <v>0</v>
      </c>
      <c r="Y40" s="106">
        <v>0</v>
      </c>
      <c r="Z40" s="106">
        <v>0</v>
      </c>
      <c r="AA40" s="106">
        <v>0</v>
      </c>
      <c r="AB40" s="106">
        <v>0</v>
      </c>
      <c r="AC40" s="107"/>
      <c r="AD40" s="106">
        <v>0</v>
      </c>
      <c r="AE40" s="106">
        <v>0</v>
      </c>
      <c r="AF40" s="106">
        <v>0</v>
      </c>
      <c r="AG40" s="106">
        <v>0</v>
      </c>
      <c r="AH40" s="106">
        <v>0</v>
      </c>
      <c r="AI40" s="106">
        <f>'[30]New 678'!$H$22</f>
        <v>2000</v>
      </c>
      <c r="AJ40" s="17">
        <f>[31]Departmentals!$H$23</f>
        <v>4000</v>
      </c>
      <c r="AK40" s="17">
        <v>0</v>
      </c>
      <c r="AL40" s="106"/>
      <c r="AM40" s="17">
        <v>0</v>
      </c>
      <c r="AN40" s="106">
        <v>0</v>
      </c>
      <c r="AO40" s="17">
        <v>0</v>
      </c>
      <c r="AP40" s="106">
        <v>0</v>
      </c>
      <c r="AQ40" s="106">
        <v>0</v>
      </c>
      <c r="AR40" s="106">
        <v>0</v>
      </c>
      <c r="AS40" s="106">
        <v>0</v>
      </c>
      <c r="AT40" s="106">
        <v>0</v>
      </c>
      <c r="AU40" s="106">
        <v>0</v>
      </c>
      <c r="AV40" s="106">
        <v>0</v>
      </c>
      <c r="AW40" s="17">
        <v>0</v>
      </c>
      <c r="AX40" s="17">
        <v>0</v>
      </c>
      <c r="AY40" s="17">
        <v>0</v>
      </c>
      <c r="AZ40" s="106"/>
      <c r="BA40" s="17"/>
      <c r="BB40" s="17">
        <f t="shared" si="7"/>
        <v>6604</v>
      </c>
      <c r="BC40" s="128" t="s">
        <v>36</v>
      </c>
      <c r="BD40" s="23" t="s">
        <v>124</v>
      </c>
      <c r="BE40" s="23"/>
      <c r="BF40" s="23"/>
      <c r="BG40" s="23"/>
    </row>
    <row r="41" spans="2:59">
      <c r="B41" s="3">
        <v>39</v>
      </c>
      <c r="C41" s="3" t="s">
        <v>129</v>
      </c>
      <c r="D41" s="88">
        <f>[2]Departmentals!$H$19</f>
        <v>500</v>
      </c>
      <c r="E41" s="17">
        <f>[3]Departmentals!$H$21</f>
        <v>46217</v>
      </c>
      <c r="F41" s="17">
        <f>[4]Departmentals!$H$21</f>
        <v>18440.919999999998</v>
      </c>
      <c r="G41" s="17"/>
      <c r="H41" s="17">
        <f>[5]Departmentals!$H$20</f>
        <v>1000</v>
      </c>
      <c r="I41" s="17"/>
      <c r="J41" s="106">
        <v>0</v>
      </c>
      <c r="K41" s="17">
        <f>[7]Departmentals!$H$21</f>
        <v>35396</v>
      </c>
      <c r="L41" s="106">
        <f>[8]Departmentals!$H$23</f>
        <v>4000</v>
      </c>
      <c r="M41" s="106">
        <f>[9]Departmentals!$H$22</f>
        <v>7316.16</v>
      </c>
      <c r="N41" s="106">
        <v>0</v>
      </c>
      <c r="O41" s="106">
        <f>[11]Departmentals!$J$22</f>
        <v>2682.89</v>
      </c>
      <c r="P41" s="106">
        <f>[12]Departmentals!$H$21</f>
        <v>700</v>
      </c>
      <c r="Q41" s="106">
        <f>'[13]Dept by SU'!$L$20</f>
        <v>1500</v>
      </c>
      <c r="R41" s="106">
        <f>[14]Departmentals!$H$21</f>
        <v>3578</v>
      </c>
      <c r="S41" s="17">
        <v>0</v>
      </c>
      <c r="T41" s="106">
        <f>[16]Departmentals!$H$20</f>
        <v>3000</v>
      </c>
      <c r="U41" s="106">
        <v>0</v>
      </c>
      <c r="V41" s="106">
        <f>[18]Departmentals!$H$21</f>
        <v>35000</v>
      </c>
      <c r="W41" s="106">
        <f>[19]Departmentals!$H$22</f>
        <v>100</v>
      </c>
      <c r="X41" s="17">
        <v>0</v>
      </c>
      <c r="Y41" s="106">
        <f>[21]Departmentals!$H$20</f>
        <v>1300</v>
      </c>
      <c r="Z41" s="106">
        <f>[22]Departmentals!$H$21</f>
        <v>15831.764999999999</v>
      </c>
      <c r="AA41" s="106">
        <v>0</v>
      </c>
      <c r="AB41" s="106">
        <f>[24]Departmentals!$H$20</f>
        <v>250</v>
      </c>
      <c r="AC41" s="107"/>
      <c r="AD41" s="106">
        <v>0</v>
      </c>
      <c r="AE41" s="106">
        <v>0</v>
      </c>
      <c r="AF41" s="106">
        <v>0</v>
      </c>
      <c r="AG41" s="106">
        <v>0</v>
      </c>
      <c r="AH41" s="106">
        <v>0</v>
      </c>
      <c r="AI41" s="106">
        <f>'[30]New 678'!$H$23</f>
        <v>6500</v>
      </c>
      <c r="AJ41" s="17">
        <f>[31]Departmentals!$H$24</f>
        <v>3000</v>
      </c>
      <c r="AK41" s="17">
        <f>[32]Departmentals!$H$17</f>
        <v>2000</v>
      </c>
      <c r="AL41" s="106"/>
      <c r="AM41" s="17">
        <v>0</v>
      </c>
      <c r="AN41" s="106">
        <f>[34]Departmentals!$H$18</f>
        <v>556</v>
      </c>
      <c r="AO41" s="17">
        <v>0</v>
      </c>
      <c r="AP41" s="106">
        <v>0</v>
      </c>
      <c r="AQ41" s="106">
        <f>[37]Departmentals!$H$17</f>
        <v>560</v>
      </c>
      <c r="AR41" s="106">
        <v>0</v>
      </c>
      <c r="AS41" s="106">
        <v>0</v>
      </c>
      <c r="AT41" s="106">
        <f>[40]Departmentals!$H$17</f>
        <v>1436.3580000000002</v>
      </c>
      <c r="AU41" s="106">
        <v>0</v>
      </c>
      <c r="AV41" s="106">
        <v>0</v>
      </c>
      <c r="AW41" s="17">
        <v>0</v>
      </c>
      <c r="AX41" s="17">
        <v>0</v>
      </c>
      <c r="AY41" s="17">
        <v>0</v>
      </c>
      <c r="AZ41" s="106"/>
      <c r="BA41" s="17"/>
      <c r="BB41" s="17">
        <f t="shared" si="7"/>
        <v>190865.09299999999</v>
      </c>
      <c r="BC41" s="128" t="s">
        <v>36</v>
      </c>
      <c r="BD41" s="23" t="s">
        <v>124</v>
      </c>
      <c r="BE41" s="23"/>
      <c r="BF41" s="23"/>
      <c r="BG41" s="23"/>
    </row>
    <row r="42" spans="2:59">
      <c r="B42" s="3">
        <v>40</v>
      </c>
      <c r="C42" s="3" t="s">
        <v>130</v>
      </c>
      <c r="D42" s="88">
        <v>0</v>
      </c>
      <c r="E42" s="17">
        <v>0</v>
      </c>
      <c r="F42" s="17">
        <v>0</v>
      </c>
      <c r="G42" s="17"/>
      <c r="H42" s="17">
        <v>0</v>
      </c>
      <c r="I42" s="17"/>
      <c r="J42" s="106">
        <v>0</v>
      </c>
      <c r="K42" s="17">
        <v>0</v>
      </c>
      <c r="L42" s="106">
        <v>0</v>
      </c>
      <c r="M42" s="106">
        <v>0</v>
      </c>
      <c r="N42" s="106">
        <v>0</v>
      </c>
      <c r="O42" s="106">
        <v>0</v>
      </c>
      <c r="P42" s="106">
        <v>0</v>
      </c>
      <c r="Q42" s="106">
        <v>0</v>
      </c>
      <c r="R42" s="106">
        <v>0</v>
      </c>
      <c r="S42" s="17">
        <v>0</v>
      </c>
      <c r="T42" s="106">
        <v>0</v>
      </c>
      <c r="U42" s="106">
        <v>0</v>
      </c>
      <c r="V42" s="106">
        <v>0</v>
      </c>
      <c r="W42" s="106">
        <v>0</v>
      </c>
      <c r="X42" s="17">
        <v>0</v>
      </c>
      <c r="Y42" s="106">
        <v>0</v>
      </c>
      <c r="Z42" s="106">
        <f>[22]Departmentals!$H$23</f>
        <v>10</v>
      </c>
      <c r="AA42" s="106">
        <v>0</v>
      </c>
      <c r="AB42" s="106">
        <v>0</v>
      </c>
      <c r="AC42" s="107"/>
      <c r="AD42" s="106">
        <v>0</v>
      </c>
      <c r="AE42" s="106">
        <v>0</v>
      </c>
      <c r="AF42" s="106">
        <v>0</v>
      </c>
      <c r="AG42" s="106">
        <v>0</v>
      </c>
      <c r="AH42" s="106">
        <v>0</v>
      </c>
      <c r="AI42" s="106">
        <v>0</v>
      </c>
      <c r="AJ42" s="17">
        <f>[31]Departmentals!$H$26</f>
        <v>1280</v>
      </c>
      <c r="AK42" s="17">
        <f>[32]Departmentals!$H$19</f>
        <v>240000</v>
      </c>
      <c r="AL42" s="106"/>
      <c r="AM42" s="17">
        <v>0</v>
      </c>
      <c r="AN42" s="106">
        <v>0</v>
      </c>
      <c r="AO42" s="17">
        <v>0</v>
      </c>
      <c r="AP42" s="106">
        <v>0</v>
      </c>
      <c r="AQ42" s="106">
        <v>0</v>
      </c>
      <c r="AR42" s="106">
        <v>0</v>
      </c>
      <c r="AS42" s="106">
        <v>0</v>
      </c>
      <c r="AT42" s="106">
        <v>0</v>
      </c>
      <c r="AU42" s="106">
        <v>0</v>
      </c>
      <c r="AV42" s="106">
        <v>0</v>
      </c>
      <c r="AW42" s="17">
        <v>0</v>
      </c>
      <c r="AX42" s="17">
        <v>0</v>
      </c>
      <c r="AY42" s="17">
        <v>0</v>
      </c>
      <c r="AZ42" s="106"/>
      <c r="BA42" s="129">
        <f>'[1]Inflation Matrix'!R10</f>
        <v>7238.7</v>
      </c>
      <c r="BB42" s="17">
        <f t="shared" si="7"/>
        <v>248528.7</v>
      </c>
      <c r="BC42" s="128" t="s">
        <v>36</v>
      </c>
      <c r="BD42" s="23" t="s">
        <v>131</v>
      </c>
      <c r="BE42" s="23"/>
      <c r="BF42" s="23"/>
      <c r="BG42" s="23"/>
    </row>
    <row r="43" spans="2:59">
      <c r="B43" s="3">
        <v>43</v>
      </c>
      <c r="C43" s="3" t="s">
        <v>132</v>
      </c>
      <c r="D43" s="88">
        <v>0</v>
      </c>
      <c r="E43" s="17">
        <f>[3]Departmentals!$H$18</f>
        <v>0</v>
      </c>
      <c r="F43" s="17">
        <f>[4]Departmentals!$H$23</f>
        <v>328.15200000000004</v>
      </c>
      <c r="G43" s="17"/>
      <c r="H43" s="17">
        <v>0</v>
      </c>
      <c r="I43" s="17"/>
      <c r="J43" s="106">
        <v>0</v>
      </c>
      <c r="K43" s="17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0</v>
      </c>
      <c r="Q43" s="106">
        <v>0</v>
      </c>
      <c r="R43" s="106">
        <v>0</v>
      </c>
      <c r="S43" s="17">
        <v>0</v>
      </c>
      <c r="T43" s="106">
        <v>0</v>
      </c>
      <c r="U43" s="106">
        <v>0</v>
      </c>
      <c r="V43" s="106">
        <v>0</v>
      </c>
      <c r="W43" s="106">
        <v>0</v>
      </c>
      <c r="X43" s="17">
        <v>0</v>
      </c>
      <c r="Y43" s="106">
        <v>0</v>
      </c>
      <c r="Z43" s="106">
        <v>0</v>
      </c>
      <c r="AA43" s="106">
        <v>0</v>
      </c>
      <c r="AB43" s="106">
        <v>0</v>
      </c>
      <c r="AC43" s="107"/>
      <c r="AD43" s="106">
        <v>0</v>
      </c>
      <c r="AE43" s="106">
        <v>0</v>
      </c>
      <c r="AF43" s="106">
        <v>0</v>
      </c>
      <c r="AG43" s="106">
        <v>0</v>
      </c>
      <c r="AH43" s="106">
        <v>0</v>
      </c>
      <c r="AI43" s="106">
        <v>0</v>
      </c>
      <c r="AJ43" s="17">
        <f>[31]Departmentals!$H$28</f>
        <v>1000</v>
      </c>
      <c r="AK43" s="17">
        <v>0</v>
      </c>
      <c r="AL43" s="106"/>
      <c r="AM43" s="17">
        <f>[33]Departmentals!$H$18</f>
        <v>14000</v>
      </c>
      <c r="AN43" s="106">
        <v>0</v>
      </c>
      <c r="AO43" s="17">
        <v>0</v>
      </c>
      <c r="AP43" s="106">
        <v>0</v>
      </c>
      <c r="AQ43" s="106">
        <v>0</v>
      </c>
      <c r="AR43" s="106">
        <v>0</v>
      </c>
      <c r="AS43" s="106">
        <v>0</v>
      </c>
      <c r="AT43" s="106">
        <v>0</v>
      </c>
      <c r="AU43" s="106">
        <v>0</v>
      </c>
      <c r="AV43" s="106">
        <v>0</v>
      </c>
      <c r="AW43" s="17">
        <v>0</v>
      </c>
      <c r="AX43" s="17">
        <v>0</v>
      </c>
      <c r="AY43" s="17">
        <v>0</v>
      </c>
      <c r="AZ43" s="106"/>
      <c r="BA43" s="17"/>
      <c r="BB43" s="17">
        <f t="shared" si="7"/>
        <v>15328.152</v>
      </c>
      <c r="BC43" s="128" t="s">
        <v>36</v>
      </c>
      <c r="BD43" s="23" t="s">
        <v>36</v>
      </c>
      <c r="BE43" s="23"/>
      <c r="BF43" s="23"/>
      <c r="BG43" s="23"/>
    </row>
    <row r="44" spans="2:59">
      <c r="B44" s="3">
        <v>44</v>
      </c>
      <c r="C44" s="3" t="s">
        <v>133</v>
      </c>
      <c r="D44" s="88">
        <v>0</v>
      </c>
      <c r="E44" s="17">
        <f>[3]Departmentals!$H$24</f>
        <v>734</v>
      </c>
      <c r="F44" s="17">
        <f>[4]Departmentals!$H$24</f>
        <v>96.250000000000014</v>
      </c>
      <c r="G44" s="17"/>
      <c r="H44" s="17">
        <v>0</v>
      </c>
      <c r="I44" s="17"/>
      <c r="J44" s="106">
        <v>0</v>
      </c>
      <c r="K44" s="17">
        <f>[7]Departmentals!$H$23</f>
        <v>695</v>
      </c>
      <c r="L44" s="106">
        <v>0</v>
      </c>
      <c r="M44" s="106">
        <v>0</v>
      </c>
      <c r="N44" s="106">
        <v>0</v>
      </c>
      <c r="O44" s="106">
        <v>0</v>
      </c>
      <c r="P44" s="106">
        <v>0</v>
      </c>
      <c r="Q44" s="106">
        <v>0</v>
      </c>
      <c r="R44" s="106">
        <f>[14]Departmentals!$H$23</f>
        <v>300</v>
      </c>
      <c r="S44" s="17">
        <v>0</v>
      </c>
      <c r="T44" s="106">
        <v>0</v>
      </c>
      <c r="U44" s="106">
        <v>0</v>
      </c>
      <c r="V44" s="106">
        <f>[18]Departmentals!$H$24</f>
        <v>500</v>
      </c>
      <c r="W44" s="106">
        <v>0</v>
      </c>
      <c r="X44" s="17">
        <v>0</v>
      </c>
      <c r="Y44" s="106">
        <f>[21]Departmentals!$H$22</f>
        <v>30</v>
      </c>
      <c r="Z44" s="106">
        <f>[22]Departmentals!$H$25</f>
        <v>100</v>
      </c>
      <c r="AA44" s="106">
        <v>0</v>
      </c>
      <c r="AB44" s="106">
        <v>0</v>
      </c>
      <c r="AC44" s="107"/>
      <c r="AD44" s="106">
        <v>0</v>
      </c>
      <c r="AE44" s="106">
        <v>0</v>
      </c>
      <c r="AF44" s="106">
        <v>0</v>
      </c>
      <c r="AG44" s="106">
        <v>0</v>
      </c>
      <c r="AH44" s="106">
        <v>0</v>
      </c>
      <c r="AI44" s="106">
        <f>'[30]New 678'!$H$25</f>
        <v>200</v>
      </c>
      <c r="AJ44" s="17">
        <f>[31]Departmentals!$H$29</f>
        <v>50</v>
      </c>
      <c r="AK44" s="17">
        <f>[32]Departmentals!$H$21</f>
        <v>5200</v>
      </c>
      <c r="AL44" s="106"/>
      <c r="AM44" s="17">
        <f>[33]Departmentals!$H$19</f>
        <v>956</v>
      </c>
      <c r="AN44" s="106">
        <f>[34]Departmentals!$H$21</f>
        <v>16500</v>
      </c>
      <c r="AO44" s="17">
        <v>0</v>
      </c>
      <c r="AP44" s="106">
        <v>0</v>
      </c>
      <c r="AQ44" s="106">
        <v>0</v>
      </c>
      <c r="AR44" s="106">
        <v>0</v>
      </c>
      <c r="AS44" s="106">
        <v>0</v>
      </c>
      <c r="AT44" s="106">
        <v>0</v>
      </c>
      <c r="AU44" s="106">
        <v>0</v>
      </c>
      <c r="AV44" s="106">
        <v>0</v>
      </c>
      <c r="AW44" s="17">
        <v>0</v>
      </c>
      <c r="AX44" s="17">
        <v>0</v>
      </c>
      <c r="AY44" s="17">
        <v>0</v>
      </c>
      <c r="AZ44" s="106"/>
      <c r="BA44" s="17"/>
      <c r="BB44" s="17">
        <f t="shared" si="7"/>
        <v>25361.25</v>
      </c>
      <c r="BC44" s="128" t="s">
        <v>36</v>
      </c>
      <c r="BD44" s="23" t="s">
        <v>36</v>
      </c>
      <c r="BE44" s="23"/>
      <c r="BF44" s="23"/>
      <c r="BG44" s="23"/>
    </row>
    <row r="45" spans="2:59">
      <c r="B45" s="3">
        <v>45</v>
      </c>
      <c r="C45" s="3" t="s">
        <v>134</v>
      </c>
      <c r="D45" s="88">
        <f>[2]Departmentals!$H$20</f>
        <v>0</v>
      </c>
      <c r="E45" s="23">
        <f>[3]Departmentals!$H$25</f>
        <v>7588</v>
      </c>
      <c r="F45" s="17">
        <f>[4]Departmentals!$H$25</f>
        <v>2978.7560000000003</v>
      </c>
      <c r="G45" s="17"/>
      <c r="H45" s="17">
        <f>[5]Departmentals!$H$22</f>
        <v>1000</v>
      </c>
      <c r="I45" s="17"/>
      <c r="J45" s="106">
        <f>'[6]Dept by SU'!$L$18</f>
        <v>750</v>
      </c>
      <c r="K45" s="17">
        <f>[7]Departmentals!$H$24</f>
        <v>2606</v>
      </c>
      <c r="L45" s="106">
        <f>[8]Departmentals!$H$25</f>
        <v>500</v>
      </c>
      <c r="M45" s="106">
        <f>[9]Departmentals!$H$25</f>
        <v>6398.46</v>
      </c>
      <c r="N45" s="106">
        <v>0</v>
      </c>
      <c r="O45" s="106">
        <f>[11]Departmentals!$J$26</f>
        <v>5043.74</v>
      </c>
      <c r="P45" s="106">
        <f>[12]Departmentals!$H$23</f>
        <v>2800</v>
      </c>
      <c r="Q45" s="106">
        <v>0</v>
      </c>
      <c r="R45" s="106">
        <f>[14]Departmentals!$H$24</f>
        <v>300</v>
      </c>
      <c r="S45" s="17">
        <v>0</v>
      </c>
      <c r="T45" s="106">
        <f>[16]Departmentals!$H$22</f>
        <v>1000</v>
      </c>
      <c r="U45" s="106">
        <v>0</v>
      </c>
      <c r="V45" s="106">
        <f>[18]Departmentals!$H$25</f>
        <v>6000</v>
      </c>
      <c r="W45" s="106">
        <v>0</v>
      </c>
      <c r="X45" s="17">
        <v>0</v>
      </c>
      <c r="Y45" s="106">
        <f>[21]Departmentals!$H$23</f>
        <v>5000</v>
      </c>
      <c r="Z45" s="106">
        <f>[22]Departmentals!$H$26</f>
        <v>1097.5</v>
      </c>
      <c r="AA45" s="106">
        <f>[23]Departmentals!$H$20</f>
        <v>200</v>
      </c>
      <c r="AB45" s="106">
        <f>[24]Departmentals!$H$22</f>
        <v>800</v>
      </c>
      <c r="AC45" s="107"/>
      <c r="AD45" s="106">
        <f>[25]Departmentals!$D$22</f>
        <v>500</v>
      </c>
      <c r="AE45" s="106">
        <v>0</v>
      </c>
      <c r="AF45" s="106">
        <v>0</v>
      </c>
      <c r="AG45" s="106">
        <v>0</v>
      </c>
      <c r="AH45" s="106">
        <f>[29]Departmentals!$H$22</f>
        <v>5000</v>
      </c>
      <c r="AI45" s="106">
        <f>'[30]New 678'!$H$26</f>
        <v>3500</v>
      </c>
      <c r="AJ45" s="17">
        <f>[31]Departmentals!$H$30</f>
        <v>18000</v>
      </c>
      <c r="AK45" s="17">
        <f>[32]Departmentals!$H$22</f>
        <v>2300</v>
      </c>
      <c r="AL45" s="106"/>
      <c r="AM45" s="17">
        <v>0</v>
      </c>
      <c r="AN45" s="106">
        <f>[34]Departmentals!$H$22</f>
        <v>520</v>
      </c>
      <c r="AO45" s="17">
        <v>0</v>
      </c>
      <c r="AP45" s="106">
        <f>'[36]Departmentals 86'!$H$19</f>
        <v>600</v>
      </c>
      <c r="AQ45" s="106">
        <f>[37]Departmentals!$H$18</f>
        <v>1200</v>
      </c>
      <c r="AR45" s="106">
        <f>[38]Departmentals!$H$23</f>
        <v>7000</v>
      </c>
      <c r="AS45" s="106">
        <f>[39]Departmentals!$H$19</f>
        <v>4000</v>
      </c>
      <c r="AT45" s="106">
        <f>[40]Departmentals!$H$19</f>
        <v>8600.6550000000007</v>
      </c>
      <c r="AU45" s="106">
        <f>[41]Departmentals!$H$19</f>
        <v>9753.2610000000004</v>
      </c>
      <c r="AV45" s="106">
        <f>[42]Departmentals!$H$22</f>
        <v>3000</v>
      </c>
      <c r="AW45" s="17">
        <f>[43]Departmentals!$H$19</f>
        <v>2500</v>
      </c>
      <c r="AX45" s="17">
        <f>[44]Departmentals!$H$19</f>
        <v>5000</v>
      </c>
      <c r="AY45" s="17">
        <f>[45]Departmentals!$H$22</f>
        <v>0</v>
      </c>
      <c r="AZ45" s="106"/>
      <c r="BA45" s="17"/>
      <c r="BB45" s="17">
        <f t="shared" si="7"/>
        <v>115536.372</v>
      </c>
      <c r="BC45" s="128" t="s">
        <v>36</v>
      </c>
      <c r="BD45" s="23" t="s">
        <v>36</v>
      </c>
      <c r="BE45" s="23"/>
      <c r="BF45" s="23"/>
      <c r="BG45" s="23"/>
    </row>
    <row r="46" spans="2:59">
      <c r="B46" s="3">
        <v>46</v>
      </c>
      <c r="C46" s="3" t="s">
        <v>135</v>
      </c>
      <c r="D46" s="88">
        <v>0</v>
      </c>
      <c r="E46" s="17">
        <v>0</v>
      </c>
      <c r="F46" s="17">
        <f>[4]Departmentals!$H$26</f>
        <v>0</v>
      </c>
      <c r="G46" s="17"/>
      <c r="H46" s="17">
        <v>0</v>
      </c>
      <c r="I46" s="17"/>
      <c r="J46" s="106">
        <v>0</v>
      </c>
      <c r="K46" s="17">
        <f>[7]Departmentals!$H$25</f>
        <v>500</v>
      </c>
      <c r="L46" s="106">
        <v>0</v>
      </c>
      <c r="M46" s="106">
        <f>[9]Departmentals!$H$26</f>
        <v>500</v>
      </c>
      <c r="N46" s="106">
        <v>0</v>
      </c>
      <c r="O46" s="106">
        <v>0</v>
      </c>
      <c r="P46" s="106">
        <v>0</v>
      </c>
      <c r="Q46" s="106">
        <v>0</v>
      </c>
      <c r="R46" s="106">
        <v>0</v>
      </c>
      <c r="S46" s="17">
        <v>0</v>
      </c>
      <c r="T46" s="106">
        <v>0</v>
      </c>
      <c r="U46" s="106">
        <v>0</v>
      </c>
      <c r="V46" s="106">
        <v>0</v>
      </c>
      <c r="W46" s="106">
        <v>0</v>
      </c>
      <c r="X46" s="17">
        <v>0</v>
      </c>
      <c r="Y46" s="106">
        <v>0</v>
      </c>
      <c r="Z46" s="106">
        <v>0</v>
      </c>
      <c r="AA46" s="106">
        <v>0</v>
      </c>
      <c r="AB46" s="106">
        <v>0</v>
      </c>
      <c r="AC46" s="107"/>
      <c r="AD46" s="106">
        <v>0</v>
      </c>
      <c r="AE46" s="106">
        <v>0</v>
      </c>
      <c r="AF46" s="106">
        <v>0</v>
      </c>
      <c r="AG46" s="106">
        <v>0</v>
      </c>
      <c r="AH46" s="106">
        <v>0</v>
      </c>
      <c r="AI46" s="106">
        <v>0</v>
      </c>
      <c r="AJ46" s="17">
        <f>[31]Departmentals!$H$31</f>
        <v>300</v>
      </c>
      <c r="AK46" s="17">
        <f>[32]Departmentals!$H$23</f>
        <v>2000</v>
      </c>
      <c r="AL46" s="106"/>
      <c r="AM46" s="17">
        <v>0</v>
      </c>
      <c r="AN46" s="106">
        <f>[34]Departmentals!$H$23</f>
        <v>500</v>
      </c>
      <c r="AO46" s="17">
        <v>0</v>
      </c>
      <c r="AP46" s="106">
        <v>0</v>
      </c>
      <c r="AQ46" s="106">
        <v>0</v>
      </c>
      <c r="AR46" s="106">
        <v>0</v>
      </c>
      <c r="AS46" s="106">
        <v>0</v>
      </c>
      <c r="AT46" s="106">
        <f>[40]Departmentals!$H$20</f>
        <v>0</v>
      </c>
      <c r="AU46" s="106">
        <v>0</v>
      </c>
      <c r="AV46" s="106">
        <v>0</v>
      </c>
      <c r="AW46" s="17">
        <v>0</v>
      </c>
      <c r="AX46" s="17">
        <v>0</v>
      </c>
      <c r="AY46" s="17">
        <v>0</v>
      </c>
      <c r="AZ46" s="106"/>
      <c r="BA46" s="17"/>
      <c r="BB46" s="17">
        <f t="shared" si="7"/>
        <v>3800</v>
      </c>
      <c r="BC46" s="128" t="s">
        <v>36</v>
      </c>
      <c r="BD46" s="23" t="s">
        <v>36</v>
      </c>
      <c r="BE46" s="23"/>
      <c r="BF46" s="23"/>
      <c r="BG46" s="23"/>
    </row>
    <row r="47" spans="2:59">
      <c r="B47" s="3">
        <v>47</v>
      </c>
      <c r="C47" s="3" t="s">
        <v>136</v>
      </c>
      <c r="D47" s="88">
        <v>0</v>
      </c>
      <c r="E47" s="17">
        <f>[3]Departmentals!$H$22</f>
        <v>0</v>
      </c>
      <c r="F47" s="17">
        <f>[4]Departmentals!$H$27</f>
        <v>2114.1120000000001</v>
      </c>
      <c r="G47" s="17"/>
      <c r="H47" s="17">
        <f>[5]Departmentals!$H$18</f>
        <v>0</v>
      </c>
      <c r="I47" s="17"/>
      <c r="J47" s="106">
        <v>0</v>
      </c>
      <c r="K47" s="17">
        <f>[7]Departmentals!$H$26</f>
        <v>945</v>
      </c>
      <c r="L47" s="106">
        <f>[8]Departmentals!$H$27</f>
        <v>1500</v>
      </c>
      <c r="M47" s="106">
        <f>[9]Departmentals!$H$27</f>
        <v>4000</v>
      </c>
      <c r="N47" s="106">
        <v>0</v>
      </c>
      <c r="O47" s="106">
        <v>0</v>
      </c>
      <c r="P47" s="106">
        <v>0</v>
      </c>
      <c r="Q47" s="106">
        <v>0</v>
      </c>
      <c r="R47" s="106">
        <f>[14]Departmentals!$H$25</f>
        <v>1100</v>
      </c>
      <c r="S47" s="17">
        <v>0</v>
      </c>
      <c r="T47" s="106">
        <v>0</v>
      </c>
      <c r="U47" s="106">
        <v>0</v>
      </c>
      <c r="V47" s="106">
        <f>[18]Departmentals!$H$27</f>
        <v>1100</v>
      </c>
      <c r="W47" s="106">
        <v>0</v>
      </c>
      <c r="X47" s="17">
        <v>0</v>
      </c>
      <c r="Y47" s="106">
        <v>0</v>
      </c>
      <c r="Z47" s="106">
        <v>0</v>
      </c>
      <c r="AA47" s="106">
        <v>0</v>
      </c>
      <c r="AB47" s="106">
        <v>0</v>
      </c>
      <c r="AC47" s="107"/>
      <c r="AD47" s="106">
        <v>0</v>
      </c>
      <c r="AE47" s="106">
        <v>0</v>
      </c>
      <c r="AF47" s="106">
        <v>0</v>
      </c>
      <c r="AG47" s="106">
        <v>0</v>
      </c>
      <c r="AH47" s="106">
        <v>0</v>
      </c>
      <c r="AI47" s="106">
        <f>'[30]New 678'!$H$27</f>
        <v>1500</v>
      </c>
      <c r="AJ47" s="17">
        <f>[31]Departmentals!$H$32</f>
        <v>250</v>
      </c>
      <c r="AK47" s="17">
        <v>0</v>
      </c>
      <c r="AL47" s="106"/>
      <c r="AM47" s="17">
        <v>0</v>
      </c>
      <c r="AN47" s="106">
        <v>0</v>
      </c>
      <c r="AO47" s="17">
        <v>0</v>
      </c>
      <c r="AP47" s="106">
        <v>0</v>
      </c>
      <c r="AQ47" s="106">
        <v>0</v>
      </c>
      <c r="AR47" s="106">
        <v>0</v>
      </c>
      <c r="AS47" s="106">
        <v>0</v>
      </c>
      <c r="AT47" s="106">
        <v>0</v>
      </c>
      <c r="AU47" s="106">
        <v>0</v>
      </c>
      <c r="AV47" s="106">
        <v>0</v>
      </c>
      <c r="AW47" s="17">
        <v>0</v>
      </c>
      <c r="AX47" s="17">
        <v>0</v>
      </c>
      <c r="AY47" s="17">
        <v>0</v>
      </c>
      <c r="AZ47" s="106"/>
      <c r="BA47" s="17"/>
      <c r="BB47" s="17">
        <f t="shared" si="7"/>
        <v>12509.112000000001</v>
      </c>
      <c r="BC47" s="128" t="s">
        <v>36</v>
      </c>
      <c r="BD47" s="23" t="s">
        <v>124</v>
      </c>
      <c r="BE47" s="23"/>
      <c r="BF47" s="23"/>
      <c r="BG47" s="23"/>
    </row>
    <row r="48" spans="2:59">
      <c r="B48" s="3">
        <v>48</v>
      </c>
      <c r="C48" s="3" t="s">
        <v>137</v>
      </c>
      <c r="D48" s="88">
        <v>0</v>
      </c>
      <c r="E48" s="17">
        <f>[3]Departmentals!$H$27</f>
        <v>410</v>
      </c>
      <c r="F48" s="17">
        <f>[4]Departmentals!$H$28</f>
        <v>3500</v>
      </c>
      <c r="G48" s="17"/>
      <c r="H48" s="17">
        <f>[5]Departmentals!$H$24</f>
        <v>800</v>
      </c>
      <c r="I48" s="17"/>
      <c r="J48" s="106">
        <v>0</v>
      </c>
      <c r="K48" s="17">
        <f>[7]Departmentals!$H$27</f>
        <v>3598</v>
      </c>
      <c r="L48" s="106">
        <v>0</v>
      </c>
      <c r="M48" s="106">
        <f>[9]Departmentals!$H$28</f>
        <v>2000</v>
      </c>
      <c r="N48" s="106">
        <v>0</v>
      </c>
      <c r="O48" s="106">
        <f>[11]Departmentals!$J$29</f>
        <v>2402.42</v>
      </c>
      <c r="P48" s="106">
        <f>[12]Departmentals!$H$24</f>
        <v>700</v>
      </c>
      <c r="Q48" s="106">
        <v>0</v>
      </c>
      <c r="R48" s="106">
        <f>[14]Departmentals!$H$26</f>
        <v>1660</v>
      </c>
      <c r="S48" s="17">
        <v>0</v>
      </c>
      <c r="T48" s="106">
        <f>[16]Departmentals!$H$24</f>
        <v>2000</v>
      </c>
      <c r="U48" s="106">
        <v>0</v>
      </c>
      <c r="V48" s="106">
        <f>[18]Departmentals!$H$28</f>
        <v>7000</v>
      </c>
      <c r="W48" s="106">
        <v>0</v>
      </c>
      <c r="X48" s="17">
        <v>0</v>
      </c>
      <c r="Y48" s="106">
        <f>[21]Departmentals!$H$26</f>
        <v>800</v>
      </c>
      <c r="Z48" s="106">
        <v>0</v>
      </c>
      <c r="AA48" s="106">
        <f>[23]Departmentals!$H$21</f>
        <v>1000</v>
      </c>
      <c r="AB48" s="106">
        <f>[24]Departmentals!$H$23</f>
        <v>1000</v>
      </c>
      <c r="AC48" s="107"/>
      <c r="AD48" s="106">
        <v>0</v>
      </c>
      <c r="AE48" s="106">
        <v>0</v>
      </c>
      <c r="AF48" s="106">
        <v>0</v>
      </c>
      <c r="AG48" s="106">
        <v>0</v>
      </c>
      <c r="AH48" s="106">
        <f>[29]Departmentals!$H$23</f>
        <v>900</v>
      </c>
      <c r="AI48" s="106">
        <f>'[30]New 678'!$H$28</f>
        <v>1000</v>
      </c>
      <c r="AJ48" s="17">
        <f>[31]Departmentals!$H$33</f>
        <v>2500</v>
      </c>
      <c r="AK48" s="17">
        <f>[32]Departmentals!$H$25</f>
        <v>8500</v>
      </c>
      <c r="AL48" s="106"/>
      <c r="AM48" s="17">
        <f>[33]Departmentals!$H$22</f>
        <v>750</v>
      </c>
      <c r="AN48" s="106">
        <f>[34]Departmentals!$H$24</f>
        <v>2103.75</v>
      </c>
      <c r="AO48" s="17">
        <f>[35]Departmentals!$H$20</f>
        <v>0</v>
      </c>
      <c r="AP48" s="106">
        <f>'[36]Departmentals 86'!$H$20</f>
        <v>2000</v>
      </c>
      <c r="AQ48" s="106">
        <f>[37]Departmentals!$H$19</f>
        <v>1800</v>
      </c>
      <c r="AR48" s="106">
        <v>0</v>
      </c>
      <c r="AS48" s="106">
        <v>0</v>
      </c>
      <c r="AT48" s="106">
        <v>0</v>
      </c>
      <c r="AU48" s="106">
        <f>[41]Departmentals!$H$21</f>
        <v>651</v>
      </c>
      <c r="AV48" s="106">
        <f>[42]Departmentals!$H$23</f>
        <v>2000</v>
      </c>
      <c r="AW48" s="17">
        <f>[43]Departmentals!$H$20</f>
        <v>2000</v>
      </c>
      <c r="AX48" s="17">
        <f>[44]Departmentals!$H$20</f>
        <v>800</v>
      </c>
      <c r="AY48" s="17">
        <f>[45]Departmentals!$H$23</f>
        <v>0</v>
      </c>
      <c r="AZ48" s="106"/>
      <c r="BA48" s="17"/>
      <c r="BB48" s="17">
        <f t="shared" si="7"/>
        <v>51875.17</v>
      </c>
      <c r="BC48" s="128" t="s">
        <v>36</v>
      </c>
      <c r="BD48" s="23" t="s">
        <v>36</v>
      </c>
      <c r="BE48" s="23"/>
      <c r="BF48" s="23"/>
      <c r="BG48" s="23"/>
    </row>
    <row r="49" spans="2:59">
      <c r="B49" s="3">
        <v>49</v>
      </c>
      <c r="C49" s="3" t="s">
        <v>138</v>
      </c>
      <c r="D49" s="88">
        <v>0</v>
      </c>
      <c r="E49" s="23">
        <f>[3]Departmentals!$H$28</f>
        <v>6010</v>
      </c>
      <c r="F49" s="17">
        <f>[4]Departmentals!$H$29</f>
        <v>8491.6260000000002</v>
      </c>
      <c r="G49" s="17"/>
      <c r="H49" s="17">
        <f>[5]Departmentals!$H$25</f>
        <v>800</v>
      </c>
      <c r="I49" s="17"/>
      <c r="J49" s="106">
        <v>0</v>
      </c>
      <c r="K49" s="17">
        <f>[7]Departmentals!$H$28</f>
        <v>5080</v>
      </c>
      <c r="L49" s="106">
        <v>0</v>
      </c>
      <c r="M49" s="106">
        <f>[9]Departmentals!$H$29</f>
        <v>7632.9</v>
      </c>
      <c r="N49" s="106">
        <f>[10]Departmentals!$H$18</f>
        <v>2800</v>
      </c>
      <c r="O49" s="106">
        <f>[11]Departmentals!$J$30</f>
        <v>1500</v>
      </c>
      <c r="P49" s="106">
        <f>[12]Departmentals!$H$25</f>
        <v>200</v>
      </c>
      <c r="Q49" s="106">
        <v>0</v>
      </c>
      <c r="R49" s="106">
        <f>[14]Departmentals!$H$27</f>
        <v>280</v>
      </c>
      <c r="S49" s="17">
        <v>0</v>
      </c>
      <c r="T49" s="106">
        <f>[16]Departmentals!$H$25</f>
        <v>500</v>
      </c>
      <c r="U49" s="106">
        <v>0</v>
      </c>
      <c r="V49" s="106">
        <f>[18]Departmentals!$H$29</f>
        <v>21500</v>
      </c>
      <c r="W49" s="106">
        <v>0</v>
      </c>
      <c r="X49" s="17">
        <v>0</v>
      </c>
      <c r="Y49" s="106">
        <f>[21]Departmentals!$H$27</f>
        <v>800</v>
      </c>
      <c r="Z49" s="106">
        <f>[22]Departmentals!$H$29</f>
        <v>399.82499999999999</v>
      </c>
      <c r="AA49" s="106">
        <v>0</v>
      </c>
      <c r="AB49" s="106">
        <f>[24]Departmentals!$H$24</f>
        <v>1500</v>
      </c>
      <c r="AC49" s="107"/>
      <c r="AD49" s="106">
        <v>0</v>
      </c>
      <c r="AE49" s="106">
        <v>0</v>
      </c>
      <c r="AF49" s="106">
        <v>0</v>
      </c>
      <c r="AG49" s="106">
        <v>0</v>
      </c>
      <c r="AH49" s="106">
        <f>[29]Departmentals!$H$24</f>
        <v>800</v>
      </c>
      <c r="AI49" s="106">
        <f>'[30]New 678'!$H$29</f>
        <v>350</v>
      </c>
      <c r="AJ49" s="17">
        <f>[31]Departmentals!$H$34</f>
        <v>1500</v>
      </c>
      <c r="AK49" s="17">
        <f>[32]Departmentals!$H$26</f>
        <v>33000</v>
      </c>
      <c r="AL49" s="106"/>
      <c r="AM49" s="17">
        <f>[33]Departmentals!$H$23</f>
        <v>1659</v>
      </c>
      <c r="AN49" s="106">
        <f>[34]Departmentals!$H$25</f>
        <v>30500</v>
      </c>
      <c r="AO49" s="17">
        <v>0</v>
      </c>
      <c r="AP49" s="106">
        <v>0</v>
      </c>
      <c r="AQ49" s="106">
        <f>[37]Departmentals!$H$20</f>
        <v>2020</v>
      </c>
      <c r="AR49" s="106">
        <v>0</v>
      </c>
      <c r="AS49" s="106">
        <v>0</v>
      </c>
      <c r="AT49" s="106">
        <f>[40]Departmentals!$H$22</f>
        <v>355.06800000000004</v>
      </c>
      <c r="AU49" s="106">
        <v>0</v>
      </c>
      <c r="AV49" s="106">
        <v>0</v>
      </c>
      <c r="AW49" s="17">
        <f>[43]Departmentals!$H$21</f>
        <v>12000</v>
      </c>
      <c r="AX49" s="17">
        <f>[44]Departmentals!$H$21</f>
        <v>100</v>
      </c>
      <c r="AY49" s="17">
        <v>0</v>
      </c>
      <c r="AZ49" s="106"/>
      <c r="BA49" s="127">
        <f>'[1]Inflation Matrix'!R8</f>
        <v>4800.77322</v>
      </c>
      <c r="BB49" s="17">
        <f t="shared" si="7"/>
        <v>144579.19222</v>
      </c>
      <c r="BC49" s="128" t="s">
        <v>36</v>
      </c>
      <c r="BD49" s="23" t="s">
        <v>36</v>
      </c>
      <c r="BE49" s="23"/>
      <c r="BF49" s="23"/>
      <c r="BG49" s="23"/>
    </row>
    <row r="50" spans="2:59">
      <c r="B50" s="3">
        <v>51</v>
      </c>
      <c r="C50" s="3" t="s">
        <v>139</v>
      </c>
      <c r="D50" s="88">
        <v>0</v>
      </c>
      <c r="E50" s="17">
        <v>0</v>
      </c>
      <c r="F50" s="17">
        <v>0</v>
      </c>
      <c r="G50" s="17"/>
      <c r="H50" s="17">
        <v>0</v>
      </c>
      <c r="I50" s="17"/>
      <c r="J50" s="106">
        <v>0</v>
      </c>
      <c r="K50" s="17">
        <v>0</v>
      </c>
      <c r="L50" s="106">
        <v>0</v>
      </c>
      <c r="M50" s="106">
        <v>0</v>
      </c>
      <c r="N50" s="106">
        <v>0</v>
      </c>
      <c r="O50" s="106">
        <v>0</v>
      </c>
      <c r="P50" s="106">
        <v>0</v>
      </c>
      <c r="Q50" s="106">
        <v>0</v>
      </c>
      <c r="R50" s="106">
        <v>0</v>
      </c>
      <c r="S50" s="17">
        <v>0</v>
      </c>
      <c r="T50" s="106">
        <v>0</v>
      </c>
      <c r="U50" s="106">
        <v>0</v>
      </c>
      <c r="V50" s="106">
        <v>0</v>
      </c>
      <c r="W50" s="106">
        <v>0</v>
      </c>
      <c r="X50" s="17">
        <v>0</v>
      </c>
      <c r="Y50" s="106">
        <v>0</v>
      </c>
      <c r="Z50" s="106">
        <v>0</v>
      </c>
      <c r="AA50" s="106">
        <v>0</v>
      </c>
      <c r="AB50" s="106">
        <v>0</v>
      </c>
      <c r="AC50" s="107"/>
      <c r="AD50" s="106">
        <v>0</v>
      </c>
      <c r="AE50" s="106">
        <v>0</v>
      </c>
      <c r="AF50" s="106">
        <v>0</v>
      </c>
      <c r="AG50" s="106">
        <v>0</v>
      </c>
      <c r="AH50" s="106">
        <v>0</v>
      </c>
      <c r="AI50" s="106">
        <f>'[30]New 678'!$H$31</f>
        <v>10982.08656</v>
      </c>
      <c r="AJ50" s="17">
        <f>[31]Departmentals!$H$36</f>
        <v>6105.6460799999995</v>
      </c>
      <c r="AK50" s="17">
        <v>0</v>
      </c>
      <c r="AL50" s="106"/>
      <c r="AM50" s="17">
        <v>0</v>
      </c>
      <c r="AN50" s="106">
        <v>0</v>
      </c>
      <c r="AO50" s="17">
        <v>0</v>
      </c>
      <c r="AP50" s="106">
        <f>'[36]Departmentals 86'!$H$21</f>
        <v>111279.87648000001</v>
      </c>
      <c r="AQ50" s="106">
        <v>0</v>
      </c>
      <c r="AR50" s="106">
        <v>0</v>
      </c>
      <c r="AS50" s="106">
        <v>0</v>
      </c>
      <c r="AT50" s="106">
        <v>0</v>
      </c>
      <c r="AU50" s="106">
        <v>0</v>
      </c>
      <c r="AV50" s="106">
        <v>0</v>
      </c>
      <c r="AW50" s="17">
        <v>0</v>
      </c>
      <c r="AX50" s="17">
        <v>0</v>
      </c>
      <c r="AY50" s="17">
        <v>0</v>
      </c>
      <c r="AZ50" s="106"/>
      <c r="BA50" s="106"/>
      <c r="BB50" s="17">
        <f t="shared" si="7"/>
        <v>128367.60912000001</v>
      </c>
      <c r="BC50" s="130" t="s">
        <v>37</v>
      </c>
      <c r="BD50" s="23" t="s">
        <v>37</v>
      </c>
      <c r="BE50" s="23"/>
      <c r="BF50" s="23"/>
      <c r="BG50" s="23"/>
    </row>
    <row r="51" spans="2:59">
      <c r="B51" s="3">
        <v>52</v>
      </c>
      <c r="C51" s="3" t="s">
        <v>140</v>
      </c>
      <c r="D51" s="88">
        <v>0</v>
      </c>
      <c r="E51" s="17">
        <v>0</v>
      </c>
      <c r="F51" s="17">
        <v>0</v>
      </c>
      <c r="G51" s="17"/>
      <c r="H51" s="17">
        <v>0</v>
      </c>
      <c r="I51" s="17"/>
      <c r="J51" s="106">
        <v>0</v>
      </c>
      <c r="K51" s="17">
        <v>0</v>
      </c>
      <c r="L51" s="106">
        <v>0</v>
      </c>
      <c r="M51" s="106">
        <v>0</v>
      </c>
      <c r="N51" s="106">
        <v>0</v>
      </c>
      <c r="O51" s="106">
        <v>0</v>
      </c>
      <c r="P51" s="106">
        <v>0</v>
      </c>
      <c r="Q51" s="106">
        <v>0</v>
      </c>
      <c r="R51" s="106">
        <v>0</v>
      </c>
      <c r="S51" s="17">
        <v>0</v>
      </c>
      <c r="T51" s="106">
        <v>0</v>
      </c>
      <c r="U51" s="106">
        <v>0</v>
      </c>
      <c r="V51" s="106">
        <v>0</v>
      </c>
      <c r="W51" s="106">
        <v>0</v>
      </c>
      <c r="X51" s="17">
        <v>0</v>
      </c>
      <c r="Y51" s="106">
        <v>0</v>
      </c>
      <c r="Z51" s="106">
        <v>0</v>
      </c>
      <c r="AA51" s="106">
        <v>0</v>
      </c>
      <c r="AB51" s="106">
        <v>0</v>
      </c>
      <c r="AC51" s="107"/>
      <c r="AD51" s="106">
        <v>0</v>
      </c>
      <c r="AE51" s="106">
        <v>0</v>
      </c>
      <c r="AF51" s="106">
        <v>0</v>
      </c>
      <c r="AG51" s="106">
        <v>0</v>
      </c>
      <c r="AH51" s="106">
        <v>0</v>
      </c>
      <c r="AI51" s="106">
        <f>'[30]New 678'!$H$32</f>
        <v>4043.6480000000006</v>
      </c>
      <c r="AJ51" s="17">
        <f>[31]Departmentals!$H$37</f>
        <v>5498.8640000000005</v>
      </c>
      <c r="AK51" s="17">
        <v>0</v>
      </c>
      <c r="AL51" s="106"/>
      <c r="AM51" s="17">
        <v>0</v>
      </c>
      <c r="AN51" s="106">
        <v>0</v>
      </c>
      <c r="AO51" s="17">
        <v>0</v>
      </c>
      <c r="AP51" s="106">
        <f>'[36]Departmentals 86'!$H$22</f>
        <v>103159.9376</v>
      </c>
      <c r="AQ51" s="106">
        <v>0</v>
      </c>
      <c r="AR51" s="106">
        <v>0</v>
      </c>
      <c r="AS51" s="106">
        <v>0</v>
      </c>
      <c r="AT51" s="106">
        <v>0</v>
      </c>
      <c r="AU51" s="106">
        <v>0</v>
      </c>
      <c r="AV51" s="106">
        <v>0</v>
      </c>
      <c r="AW51" s="17">
        <v>0</v>
      </c>
      <c r="AX51" s="17">
        <v>0</v>
      </c>
      <c r="AY51" s="17">
        <v>0</v>
      </c>
      <c r="AZ51" s="106"/>
      <c r="BA51" s="106"/>
      <c r="BB51" s="17">
        <f t="shared" si="7"/>
        <v>112702.44960000001</v>
      </c>
      <c r="BC51" s="130" t="s">
        <v>37</v>
      </c>
      <c r="BD51" s="23" t="s">
        <v>37</v>
      </c>
      <c r="BE51" s="23"/>
      <c r="BF51" s="23"/>
      <c r="BG51" s="23"/>
    </row>
    <row r="52" spans="2:59">
      <c r="B52" s="3">
        <v>53</v>
      </c>
      <c r="C52" s="3" t="s">
        <v>141</v>
      </c>
      <c r="D52" s="88">
        <f>[2]Departmentals!$H$22</f>
        <v>0</v>
      </c>
      <c r="E52" s="17">
        <v>0</v>
      </c>
      <c r="F52" s="17">
        <v>0</v>
      </c>
      <c r="G52" s="17"/>
      <c r="H52" s="17">
        <v>0</v>
      </c>
      <c r="I52" s="17"/>
      <c r="J52" s="106">
        <v>0</v>
      </c>
      <c r="K52" s="17">
        <v>0</v>
      </c>
      <c r="L52" s="106">
        <v>0</v>
      </c>
      <c r="M52" s="106">
        <v>0</v>
      </c>
      <c r="N52" s="106">
        <v>0</v>
      </c>
      <c r="O52" s="106">
        <v>0</v>
      </c>
      <c r="P52" s="106">
        <v>0</v>
      </c>
      <c r="Q52" s="106">
        <v>0</v>
      </c>
      <c r="R52" s="106">
        <v>0</v>
      </c>
      <c r="S52" s="17">
        <v>0</v>
      </c>
      <c r="T52" s="106">
        <v>0</v>
      </c>
      <c r="U52" s="106">
        <v>0</v>
      </c>
      <c r="V52" s="106">
        <v>0</v>
      </c>
      <c r="W52" s="106">
        <v>0</v>
      </c>
      <c r="X52" s="17">
        <v>0</v>
      </c>
      <c r="Y52" s="106">
        <v>0</v>
      </c>
      <c r="Z52" s="106">
        <v>0</v>
      </c>
      <c r="AA52" s="106">
        <v>0</v>
      </c>
      <c r="AB52" s="106">
        <v>0</v>
      </c>
      <c r="AC52" s="107"/>
      <c r="AD52" s="106">
        <v>0</v>
      </c>
      <c r="AE52" s="106">
        <v>0</v>
      </c>
      <c r="AF52" s="106">
        <v>0</v>
      </c>
      <c r="AG52" s="106">
        <v>0</v>
      </c>
      <c r="AH52" s="106">
        <v>0</v>
      </c>
      <c r="AI52" s="106">
        <v>0</v>
      </c>
      <c r="AJ52" s="17">
        <f>[31]Departmentals!$H$18</f>
        <v>0</v>
      </c>
      <c r="AK52" s="17">
        <v>0</v>
      </c>
      <c r="AL52" s="106"/>
      <c r="AM52" s="17">
        <v>0</v>
      </c>
      <c r="AN52" s="106">
        <v>0</v>
      </c>
      <c r="AO52" s="17">
        <v>0</v>
      </c>
      <c r="AP52" s="106">
        <v>0</v>
      </c>
      <c r="AQ52" s="106">
        <v>0</v>
      </c>
      <c r="AR52" s="106">
        <v>0</v>
      </c>
      <c r="AS52" s="106">
        <v>0</v>
      </c>
      <c r="AT52" s="106">
        <v>0</v>
      </c>
      <c r="AU52" s="106">
        <v>0</v>
      </c>
      <c r="AV52" s="106">
        <v>0</v>
      </c>
      <c r="AW52" s="17">
        <v>0</v>
      </c>
      <c r="AX52" s="17">
        <v>0</v>
      </c>
      <c r="AY52" s="17">
        <v>0</v>
      </c>
      <c r="AZ52" s="106"/>
      <c r="BA52" s="106"/>
      <c r="BB52" s="17">
        <f t="shared" si="7"/>
        <v>0</v>
      </c>
      <c r="BC52" s="130" t="s">
        <v>37</v>
      </c>
      <c r="BD52" s="23" t="s">
        <v>37</v>
      </c>
      <c r="BE52" s="23"/>
      <c r="BF52" s="23"/>
      <c r="BG52" s="23"/>
    </row>
    <row r="53" spans="2:59">
      <c r="B53" s="3">
        <v>54</v>
      </c>
      <c r="C53" s="3" t="s">
        <v>142</v>
      </c>
      <c r="D53" s="88">
        <v>0</v>
      </c>
      <c r="E53" s="17">
        <v>0</v>
      </c>
      <c r="F53" s="17">
        <v>0</v>
      </c>
      <c r="G53" s="17"/>
      <c r="H53" s="17">
        <v>0</v>
      </c>
      <c r="I53" s="17"/>
      <c r="J53" s="106">
        <v>0</v>
      </c>
      <c r="K53" s="17">
        <v>0</v>
      </c>
      <c r="L53" s="106">
        <v>0</v>
      </c>
      <c r="M53" s="106">
        <v>0</v>
      </c>
      <c r="N53" s="106">
        <v>0</v>
      </c>
      <c r="O53" s="106">
        <v>0</v>
      </c>
      <c r="P53" s="106">
        <v>0</v>
      </c>
      <c r="Q53" s="106">
        <v>0</v>
      </c>
      <c r="R53" s="106">
        <v>0</v>
      </c>
      <c r="S53" s="17">
        <v>0</v>
      </c>
      <c r="T53" s="106">
        <v>0</v>
      </c>
      <c r="U53" s="106">
        <v>0</v>
      </c>
      <c r="V53" s="106">
        <v>0</v>
      </c>
      <c r="W53" s="106">
        <v>0</v>
      </c>
      <c r="X53" s="17">
        <v>0</v>
      </c>
      <c r="Y53" s="106">
        <v>0</v>
      </c>
      <c r="Z53" s="106">
        <v>0</v>
      </c>
      <c r="AA53" s="106">
        <v>0</v>
      </c>
      <c r="AB53" s="106">
        <v>0</v>
      </c>
      <c r="AC53" s="107"/>
      <c r="AD53" s="106">
        <v>0</v>
      </c>
      <c r="AE53" s="106">
        <v>0</v>
      </c>
      <c r="AF53" s="106">
        <v>0</v>
      </c>
      <c r="AG53" s="106">
        <v>0</v>
      </c>
      <c r="AH53" s="106">
        <v>0</v>
      </c>
      <c r="AI53" s="106">
        <f>'[30]New 678'!$H$33</f>
        <v>1886.6011999999998</v>
      </c>
      <c r="AJ53" s="17">
        <f>[31]Departmentals!$H$38</f>
        <v>1167.308</v>
      </c>
      <c r="AK53" s="17">
        <v>0</v>
      </c>
      <c r="AL53" s="106"/>
      <c r="AM53" s="17">
        <v>0</v>
      </c>
      <c r="AN53" s="106">
        <v>0</v>
      </c>
      <c r="AO53" s="17">
        <v>0</v>
      </c>
      <c r="AP53" s="106">
        <f>'[36]Departmentals 86'!$H$23</f>
        <v>21743.605800000001</v>
      </c>
      <c r="AQ53" s="106">
        <v>0</v>
      </c>
      <c r="AR53" s="106">
        <v>0</v>
      </c>
      <c r="AS53" s="106">
        <v>0</v>
      </c>
      <c r="AT53" s="106">
        <v>0</v>
      </c>
      <c r="AU53" s="106">
        <v>0</v>
      </c>
      <c r="AV53" s="106">
        <v>0</v>
      </c>
      <c r="AW53" s="17">
        <v>0</v>
      </c>
      <c r="AX53" s="17">
        <v>0</v>
      </c>
      <c r="AY53" s="17">
        <v>0</v>
      </c>
      <c r="AZ53" s="106"/>
      <c r="BA53" s="106"/>
      <c r="BB53" s="17">
        <f>SUM(D53:BA53)</f>
        <v>24797.514999999999</v>
      </c>
      <c r="BC53" s="130" t="s">
        <v>37</v>
      </c>
      <c r="BD53" s="23" t="s">
        <v>37</v>
      </c>
      <c r="BE53" s="23"/>
      <c r="BF53" s="23"/>
      <c r="BG53" s="23"/>
    </row>
    <row r="54" spans="2:59">
      <c r="B54" s="3">
        <v>55</v>
      </c>
      <c r="C54" s="3" t="s">
        <v>143</v>
      </c>
      <c r="D54" s="88">
        <f>[2]Departmentals!$H$23</f>
        <v>0</v>
      </c>
      <c r="E54" s="17">
        <v>0</v>
      </c>
      <c r="F54" s="17">
        <v>0</v>
      </c>
      <c r="G54" s="17"/>
      <c r="H54" s="17">
        <v>0</v>
      </c>
      <c r="I54" s="17"/>
      <c r="J54" s="106">
        <v>0</v>
      </c>
      <c r="K54" s="17">
        <v>0</v>
      </c>
      <c r="L54" s="106">
        <v>0</v>
      </c>
      <c r="M54" s="106">
        <v>0</v>
      </c>
      <c r="N54" s="106">
        <v>0</v>
      </c>
      <c r="O54" s="106">
        <v>0</v>
      </c>
      <c r="P54" s="106">
        <v>0</v>
      </c>
      <c r="Q54" s="106">
        <v>0</v>
      </c>
      <c r="R54" s="106">
        <v>0</v>
      </c>
      <c r="S54" s="17">
        <v>0</v>
      </c>
      <c r="T54" s="106">
        <v>0</v>
      </c>
      <c r="U54" s="106">
        <v>0</v>
      </c>
      <c r="V54" s="106">
        <v>0</v>
      </c>
      <c r="W54" s="106">
        <v>0</v>
      </c>
      <c r="X54" s="17">
        <v>0</v>
      </c>
      <c r="Y54" s="106">
        <v>0</v>
      </c>
      <c r="Z54" s="106">
        <v>0</v>
      </c>
      <c r="AA54" s="106">
        <v>0</v>
      </c>
      <c r="AB54" s="106">
        <v>0</v>
      </c>
      <c r="AC54" s="107"/>
      <c r="AD54" s="106">
        <v>0</v>
      </c>
      <c r="AE54" s="106">
        <v>0</v>
      </c>
      <c r="AF54" s="106">
        <v>0</v>
      </c>
      <c r="AG54" s="106">
        <v>0</v>
      </c>
      <c r="AH54" s="106">
        <v>0</v>
      </c>
      <c r="AI54" s="106">
        <v>0</v>
      </c>
      <c r="AJ54" s="17">
        <f>[31]Departmentals!$H$39</f>
        <v>11259.5532</v>
      </c>
      <c r="AK54" s="17">
        <v>0</v>
      </c>
      <c r="AL54" s="106"/>
      <c r="AM54" s="17">
        <v>0</v>
      </c>
      <c r="AN54" s="106">
        <v>0</v>
      </c>
      <c r="AO54" s="17">
        <v>0</v>
      </c>
      <c r="AP54" s="106">
        <f>'[36]Departmentals 86'!$H$24</f>
        <v>30392.934800000003</v>
      </c>
      <c r="AQ54" s="106">
        <v>0</v>
      </c>
      <c r="AR54" s="106">
        <v>0</v>
      </c>
      <c r="AS54" s="106">
        <v>0</v>
      </c>
      <c r="AT54" s="106">
        <v>0</v>
      </c>
      <c r="AU54" s="106">
        <v>0</v>
      </c>
      <c r="AV54" s="106">
        <v>0</v>
      </c>
      <c r="AW54" s="17">
        <v>0</v>
      </c>
      <c r="AX54" s="17">
        <v>0</v>
      </c>
      <c r="AY54" s="17">
        <v>0</v>
      </c>
      <c r="AZ54" s="106"/>
      <c r="BA54" s="106"/>
      <c r="BB54" s="17">
        <f t="shared" si="7"/>
        <v>41652.488000000005</v>
      </c>
      <c r="BC54" s="130" t="s">
        <v>37</v>
      </c>
      <c r="BD54" s="23" t="s">
        <v>37</v>
      </c>
      <c r="BE54" s="23"/>
      <c r="BF54" s="23"/>
      <c r="BG54" s="23"/>
    </row>
    <row r="55" spans="2:59">
      <c r="B55" s="3">
        <v>57</v>
      </c>
      <c r="C55" s="3" t="s">
        <v>144</v>
      </c>
      <c r="D55" s="88">
        <v>0</v>
      </c>
      <c r="E55" s="17">
        <v>0</v>
      </c>
      <c r="F55" s="17">
        <v>0</v>
      </c>
      <c r="G55" s="17"/>
      <c r="H55" s="17">
        <v>0</v>
      </c>
      <c r="I55" s="17"/>
      <c r="J55" s="106">
        <v>0</v>
      </c>
      <c r="K55" s="17">
        <v>0</v>
      </c>
      <c r="L55" s="106">
        <v>0</v>
      </c>
      <c r="M55" s="106">
        <v>0</v>
      </c>
      <c r="N55" s="106">
        <v>0</v>
      </c>
      <c r="O55" s="106">
        <f>[11]Departmentals!$J$31</f>
        <v>18206</v>
      </c>
      <c r="P55" s="106">
        <v>0</v>
      </c>
      <c r="Q55" s="106">
        <v>0</v>
      </c>
      <c r="R55" s="106">
        <v>0</v>
      </c>
      <c r="S55" s="17">
        <v>0</v>
      </c>
      <c r="T55" s="106">
        <v>0</v>
      </c>
      <c r="U55" s="106">
        <v>0</v>
      </c>
      <c r="V55" s="106">
        <v>0</v>
      </c>
      <c r="W55" s="106">
        <v>0</v>
      </c>
      <c r="X55" s="17">
        <v>0</v>
      </c>
      <c r="Y55" s="106">
        <f>[21]Departmentals!$H$29</f>
        <v>500</v>
      </c>
      <c r="Z55" s="106">
        <v>0</v>
      </c>
      <c r="AA55" s="106">
        <v>0</v>
      </c>
      <c r="AB55" s="106">
        <v>0</v>
      </c>
      <c r="AC55" s="107"/>
      <c r="AD55" s="106">
        <v>0</v>
      </c>
      <c r="AE55" s="106">
        <v>0</v>
      </c>
      <c r="AF55" s="106">
        <v>0</v>
      </c>
      <c r="AG55" s="106">
        <v>0</v>
      </c>
      <c r="AH55" s="106">
        <v>0</v>
      </c>
      <c r="AI55" s="106">
        <f>'[30]New 678'!$H$35</f>
        <v>1479</v>
      </c>
      <c r="AJ55" s="17">
        <f>[31]Departmentals!$H$40</f>
        <v>7418.0724</v>
      </c>
      <c r="AK55" s="17">
        <v>0</v>
      </c>
      <c r="AL55" s="106"/>
      <c r="AM55" s="17">
        <v>0</v>
      </c>
      <c r="AN55" s="106">
        <v>0</v>
      </c>
      <c r="AO55" s="17">
        <v>0</v>
      </c>
      <c r="AP55" s="106">
        <f>'[36]Departmentals 86'!$H$25</f>
        <v>23439.9264</v>
      </c>
      <c r="AQ55" s="106">
        <v>0</v>
      </c>
      <c r="AR55" s="106">
        <f>[38]Departmentals!$H$27</f>
        <v>8400</v>
      </c>
      <c r="AS55" s="106">
        <v>0</v>
      </c>
      <c r="AT55" s="106">
        <v>0</v>
      </c>
      <c r="AU55" s="106">
        <v>0</v>
      </c>
      <c r="AV55" s="106">
        <v>0</v>
      </c>
      <c r="AW55" s="17">
        <v>0</v>
      </c>
      <c r="AX55" s="17">
        <v>0</v>
      </c>
      <c r="AY55" s="17">
        <v>0</v>
      </c>
      <c r="AZ55" s="106"/>
      <c r="BA55" s="106"/>
      <c r="BB55" s="17">
        <f t="shared" si="7"/>
        <v>59442.998800000001</v>
      </c>
      <c r="BC55" s="130" t="s">
        <v>37</v>
      </c>
      <c r="BD55" s="23" t="s">
        <v>37</v>
      </c>
      <c r="BE55" s="23"/>
      <c r="BF55" s="23"/>
      <c r="BG55" s="23"/>
    </row>
    <row r="56" spans="2:59">
      <c r="B56" s="3">
        <v>60</v>
      </c>
      <c r="C56" s="3" t="s">
        <v>38</v>
      </c>
      <c r="D56" s="88">
        <f>[2]Departmentals!$H$26</f>
        <v>258.54400000000004</v>
      </c>
      <c r="E56" s="17">
        <f>[3]Departmentals!$H$30</f>
        <v>6088.4120000000003</v>
      </c>
      <c r="F56" s="17">
        <f>[4]Departmentals!$H$31</f>
        <v>936.58400000000017</v>
      </c>
      <c r="G56" s="17"/>
      <c r="H56" s="17">
        <f>[5]Departmentals!$H$26</f>
        <v>250</v>
      </c>
      <c r="I56" s="17"/>
      <c r="J56" s="106">
        <v>0</v>
      </c>
      <c r="K56" s="17">
        <f>[7]Departmentals!$H$29</f>
        <v>1844</v>
      </c>
      <c r="L56" s="106">
        <v>0</v>
      </c>
      <c r="M56" s="106">
        <f>[9]Departmentals!$H$31</f>
        <v>118176.02</v>
      </c>
      <c r="N56" s="106">
        <v>0</v>
      </c>
      <c r="O56" s="106">
        <f>[11]Departmentals!$J$33</f>
        <v>284210.8</v>
      </c>
      <c r="P56" s="106">
        <v>0</v>
      </c>
      <c r="Q56" s="106">
        <v>0</v>
      </c>
      <c r="R56" s="106">
        <f>[14]Departmentals!$H$29</f>
        <v>1500</v>
      </c>
      <c r="S56" s="17">
        <v>0</v>
      </c>
      <c r="T56" s="106">
        <v>0</v>
      </c>
      <c r="U56" s="106">
        <v>0</v>
      </c>
      <c r="V56" s="106">
        <f>[18]Departmentals!$H$31</f>
        <v>6000</v>
      </c>
      <c r="W56" s="106">
        <v>0</v>
      </c>
      <c r="X56" s="17">
        <v>0</v>
      </c>
      <c r="Y56" s="106">
        <f>[21]Departmentals!$H$31</f>
        <v>250</v>
      </c>
      <c r="Z56" s="106">
        <f>[22]Departmentals!$H$31</f>
        <v>17276.88</v>
      </c>
      <c r="AA56" s="106">
        <f>[23]Departmentals!$H$24</f>
        <v>7500</v>
      </c>
      <c r="AB56" s="106">
        <f>[24]Departmentals!$H$26</f>
        <v>800</v>
      </c>
      <c r="AC56" s="107"/>
      <c r="AD56" s="106">
        <v>0</v>
      </c>
      <c r="AE56" s="106">
        <v>0</v>
      </c>
      <c r="AF56" s="106">
        <v>0</v>
      </c>
      <c r="AG56" s="106">
        <v>0</v>
      </c>
      <c r="AH56" s="106">
        <f>[29]Departmentals!$H$26</f>
        <v>8500</v>
      </c>
      <c r="AI56" s="106">
        <f>'[30]New 678'!$H$38</f>
        <v>48000</v>
      </c>
      <c r="AJ56" s="17">
        <f>[31]Departmentals!$H$43</f>
        <v>45500</v>
      </c>
      <c r="AK56" s="17">
        <f>[32]Departmentals!$H$28</f>
        <v>500</v>
      </c>
      <c r="AL56" s="106"/>
      <c r="AM56" s="17">
        <f>[33]Departmentals!$H$25</f>
        <v>34240</v>
      </c>
      <c r="AN56" s="106">
        <f>[34]Departmentals!$H$27</f>
        <v>11895</v>
      </c>
      <c r="AO56" s="17">
        <f>[35]Departmentals!$H$23</f>
        <v>188800</v>
      </c>
      <c r="AP56" s="106">
        <f>'[36]Departmentals 86'!$H$28</f>
        <v>37000</v>
      </c>
      <c r="AQ56" s="106">
        <v>0</v>
      </c>
      <c r="AR56" s="106">
        <f>[38]Departmentals!$H$29</f>
        <v>94178</v>
      </c>
      <c r="AS56" s="106">
        <v>0</v>
      </c>
      <c r="AT56" s="106">
        <v>0</v>
      </c>
      <c r="AU56" s="106">
        <f>[41]Departmentals!$H$24</f>
        <v>28800</v>
      </c>
      <c r="AV56" s="106">
        <f>[42]Departmentals!$H$26</f>
        <v>3000</v>
      </c>
      <c r="AW56" s="17">
        <f>[43]Departmentals!$H$24</f>
        <v>98000</v>
      </c>
      <c r="AX56" s="17">
        <f>[44]Departmentals!$H$23</f>
        <v>72000</v>
      </c>
      <c r="AY56" s="17">
        <f>[45]Departmentals!$H$27</f>
        <v>0</v>
      </c>
      <c r="AZ56" s="106"/>
      <c r="BA56" s="17"/>
      <c r="BB56" s="17">
        <f>SUM(D56:BA56)</f>
        <v>1115504.24</v>
      </c>
      <c r="BC56" s="131" t="s">
        <v>38</v>
      </c>
      <c r="BD56" s="23" t="s">
        <v>38</v>
      </c>
      <c r="BE56" s="23"/>
      <c r="BF56" s="23"/>
      <c r="BG56" s="23"/>
    </row>
    <row r="57" spans="2:59">
      <c r="B57" s="3">
        <v>61</v>
      </c>
      <c r="C57" s="3" t="s">
        <v>145</v>
      </c>
      <c r="D57" s="88"/>
      <c r="E57" s="17">
        <v>0</v>
      </c>
      <c r="F57" s="17">
        <f>[4]Departmentals!$H$32</f>
        <v>9000</v>
      </c>
      <c r="G57" s="17"/>
      <c r="H57" s="17">
        <v>0</v>
      </c>
      <c r="I57" s="17"/>
      <c r="J57" s="106">
        <v>0</v>
      </c>
      <c r="K57" s="17">
        <v>0</v>
      </c>
      <c r="L57" s="106">
        <v>0</v>
      </c>
      <c r="M57" s="106">
        <v>0</v>
      </c>
      <c r="N57" s="106">
        <v>0</v>
      </c>
      <c r="O57" s="106">
        <v>0</v>
      </c>
      <c r="P57" s="106">
        <f>[12]Departmentals!$H$28</f>
        <v>1200</v>
      </c>
      <c r="Q57" s="106">
        <v>0</v>
      </c>
      <c r="R57" s="106">
        <v>0</v>
      </c>
      <c r="S57" s="17">
        <v>0</v>
      </c>
      <c r="T57" s="106">
        <f>[16]Departmentals!$H$28</f>
        <v>300</v>
      </c>
      <c r="U57" s="106">
        <v>0</v>
      </c>
      <c r="V57" s="106">
        <v>0</v>
      </c>
      <c r="W57" s="106">
        <v>0</v>
      </c>
      <c r="X57" s="17">
        <v>0</v>
      </c>
      <c r="Y57" s="106">
        <f>[21]Departmentals!$H$32</f>
        <v>400</v>
      </c>
      <c r="Z57" s="106">
        <f>[22]Departmentals!$H$32</f>
        <v>600</v>
      </c>
      <c r="AA57" s="106">
        <v>0</v>
      </c>
      <c r="AB57" s="106">
        <v>0</v>
      </c>
      <c r="AC57" s="107"/>
      <c r="AD57" s="106">
        <v>0</v>
      </c>
      <c r="AE57" s="106">
        <v>0</v>
      </c>
      <c r="AF57" s="106">
        <v>0</v>
      </c>
      <c r="AG57" s="106">
        <v>0</v>
      </c>
      <c r="AH57" s="106">
        <v>0</v>
      </c>
      <c r="AI57" s="106">
        <v>0</v>
      </c>
      <c r="AJ57" s="17">
        <f>[31]Departmentals!$H$18</f>
        <v>0</v>
      </c>
      <c r="AK57" s="17">
        <v>0</v>
      </c>
      <c r="AL57" s="106"/>
      <c r="AM57" s="17">
        <v>0</v>
      </c>
      <c r="AN57" s="106">
        <v>0</v>
      </c>
      <c r="AO57" s="17">
        <v>0</v>
      </c>
      <c r="AP57" s="106">
        <v>0</v>
      </c>
      <c r="AQ57" s="106">
        <v>0</v>
      </c>
      <c r="AR57" s="106">
        <v>0</v>
      </c>
      <c r="AS57" s="106">
        <v>0</v>
      </c>
      <c r="AT57" s="106">
        <v>0</v>
      </c>
      <c r="AU57" s="106">
        <v>0</v>
      </c>
      <c r="AV57" s="106">
        <v>0</v>
      </c>
      <c r="AW57" s="17">
        <v>0</v>
      </c>
      <c r="AX57" s="17">
        <v>0</v>
      </c>
      <c r="AY57" s="17">
        <v>0</v>
      </c>
      <c r="AZ57" s="106"/>
      <c r="BA57" s="17"/>
      <c r="BB57" s="17">
        <f t="shared" si="7"/>
        <v>11500</v>
      </c>
      <c r="BC57" s="131" t="s">
        <v>38</v>
      </c>
      <c r="BD57" s="23" t="s">
        <v>146</v>
      </c>
      <c r="BE57" s="23"/>
      <c r="BF57" s="23"/>
      <c r="BG57" s="23"/>
    </row>
    <row r="58" spans="2:59">
      <c r="B58" s="3">
        <v>62</v>
      </c>
      <c r="C58" s="3" t="s">
        <v>147</v>
      </c>
      <c r="D58" s="88">
        <v>0</v>
      </c>
      <c r="E58" s="17">
        <f>[3]Departmentals!$H$32</f>
        <v>5645.4860000000008</v>
      </c>
      <c r="F58" s="17">
        <f>[4]Departmentals!$H$33</f>
        <v>0</v>
      </c>
      <c r="G58" s="17"/>
      <c r="H58" s="17">
        <f>[5]Departmentals!$H$27</f>
        <v>1000</v>
      </c>
      <c r="I58" s="17"/>
      <c r="J58" s="106">
        <v>0</v>
      </c>
      <c r="K58" s="17">
        <f>[7]Departmentals!$H$30</f>
        <v>13025</v>
      </c>
      <c r="L58" s="106">
        <f>[8]Departmentals!$H$35</f>
        <v>6000</v>
      </c>
      <c r="M58" s="106">
        <f>[9]Departmentals!$H$33</f>
        <v>12620.84</v>
      </c>
      <c r="N58" s="106">
        <v>0</v>
      </c>
      <c r="O58" s="106">
        <f>[11]Departmentals!$J$35</f>
        <v>140367</v>
      </c>
      <c r="P58" s="106">
        <f>[12]Departmentals!$H$29</f>
        <v>400</v>
      </c>
      <c r="Q58" s="106">
        <v>0</v>
      </c>
      <c r="R58" s="106">
        <f>[14]Departmentals!$H$30</f>
        <v>3000</v>
      </c>
      <c r="S58" s="17">
        <v>0</v>
      </c>
      <c r="T58" s="106">
        <f>[16]Departmentals!$H$29</f>
        <v>2000</v>
      </c>
      <c r="U58" s="106">
        <v>0</v>
      </c>
      <c r="V58" s="106">
        <f>[18]Departmentals!$H$33</f>
        <v>1700</v>
      </c>
      <c r="W58" s="106">
        <v>0</v>
      </c>
      <c r="X58" s="17">
        <v>0</v>
      </c>
      <c r="Y58" s="106">
        <f>[21]Departmentals!$H$33</f>
        <v>200</v>
      </c>
      <c r="Z58" s="106">
        <f>[22]Departmentals!$H$33</f>
        <v>1850</v>
      </c>
      <c r="AA58" s="106">
        <v>0</v>
      </c>
      <c r="AB58" s="106">
        <v>0</v>
      </c>
      <c r="AC58" s="107"/>
      <c r="AD58" s="106">
        <v>0</v>
      </c>
      <c r="AE58" s="106">
        <f>[26]Departmentals!$H$29</f>
        <v>1700</v>
      </c>
      <c r="AF58" s="106">
        <f>[27]Departmentals!$H$21</f>
        <v>1700</v>
      </c>
      <c r="AG58" s="106">
        <f>[28]Departmentals!$H$26</f>
        <v>1700</v>
      </c>
      <c r="AH58" s="106">
        <f>[29]Departmentals!$H$28</f>
        <v>500</v>
      </c>
      <c r="AI58" s="106">
        <f>'[30]New 678'!$H$39</f>
        <v>10000</v>
      </c>
      <c r="AJ58" s="17">
        <f>[31]Departmentals!$H$45</f>
        <v>4100</v>
      </c>
      <c r="AK58" s="17">
        <f>[32]Departmentals!$H$29</f>
        <v>3774.34</v>
      </c>
      <c r="AL58" s="106"/>
      <c r="AM58" s="17">
        <f>[33]Departmentals!$H$26</f>
        <v>600</v>
      </c>
      <c r="AN58" s="106">
        <f>[34]Departmentals!$H$28</f>
        <v>650</v>
      </c>
      <c r="AO58" s="17">
        <v>0</v>
      </c>
      <c r="AP58" s="106">
        <f>'[36]Departmentals 86'!$H$29</f>
        <v>35000</v>
      </c>
      <c r="AQ58" s="106">
        <f>[37]Departmentals!$H$21</f>
        <v>250</v>
      </c>
      <c r="AR58" s="106">
        <v>0</v>
      </c>
      <c r="AS58" s="106">
        <v>0</v>
      </c>
      <c r="AT58" s="106">
        <f>[40]Departmentals!$H$24</f>
        <v>6528.38</v>
      </c>
      <c r="AU58" s="106">
        <f>[41]Departmentals!$H$25</f>
        <v>500</v>
      </c>
      <c r="AV58" s="106">
        <v>0</v>
      </c>
      <c r="AW58" s="17">
        <v>0</v>
      </c>
      <c r="AX58" s="17">
        <f>[44]Departmentals!$H$25</f>
        <v>6000</v>
      </c>
      <c r="AY58" s="17">
        <v>0</v>
      </c>
      <c r="AZ58" s="106"/>
      <c r="BA58" s="127">
        <f>'[1]Inflation Matrix'!R26</f>
        <v>7824.3313799999996</v>
      </c>
      <c r="BB58" s="17">
        <f t="shared" si="7"/>
        <v>268635.37738000002</v>
      </c>
      <c r="BC58" s="131" t="s">
        <v>38</v>
      </c>
      <c r="BD58" s="23" t="s">
        <v>148</v>
      </c>
      <c r="BE58" s="23"/>
      <c r="BF58" s="23"/>
      <c r="BG58" s="23"/>
    </row>
    <row r="59" spans="2:59">
      <c r="B59" s="3">
        <v>63</v>
      </c>
      <c r="C59" s="3" t="s">
        <v>149</v>
      </c>
      <c r="D59" s="88">
        <v>0</v>
      </c>
      <c r="E59" s="17">
        <f>[3]Departmentals!$H$33</f>
        <v>5000</v>
      </c>
      <c r="F59" s="17">
        <f>[4]Departmentals!$H$34</f>
        <v>19440</v>
      </c>
      <c r="G59" s="17"/>
      <c r="H59" s="17">
        <f>[5]Departmentals!$H$28</f>
        <v>0</v>
      </c>
      <c r="I59" s="17"/>
      <c r="J59" s="106">
        <v>0</v>
      </c>
      <c r="K59" s="17">
        <v>0</v>
      </c>
      <c r="L59" s="106">
        <v>0</v>
      </c>
      <c r="M59" s="106">
        <v>0</v>
      </c>
      <c r="N59" s="106">
        <v>0</v>
      </c>
      <c r="O59" s="106">
        <v>0</v>
      </c>
      <c r="P59" s="106">
        <f>[12]Departmentals!$H$30</f>
        <v>12324</v>
      </c>
      <c r="Q59" s="106">
        <f>'[13]Dept by SU'!$L$25</f>
        <v>11000</v>
      </c>
      <c r="R59" s="106">
        <v>0</v>
      </c>
      <c r="S59" s="17">
        <f>[15]Departmentals!$H$22</f>
        <v>2475</v>
      </c>
      <c r="T59" s="106">
        <f>[16]Departmentals!$H$30</f>
        <v>17600</v>
      </c>
      <c r="U59" s="106">
        <v>0</v>
      </c>
      <c r="V59" s="106">
        <v>0</v>
      </c>
      <c r="W59" s="106">
        <v>0</v>
      </c>
      <c r="X59" s="17">
        <v>0</v>
      </c>
      <c r="Y59" s="106">
        <v>0</v>
      </c>
      <c r="Z59" s="106">
        <f>[22]Departmentals!$H$34</f>
        <v>4320</v>
      </c>
      <c r="AA59" s="106">
        <v>0</v>
      </c>
      <c r="AB59" s="106">
        <v>0</v>
      </c>
      <c r="AC59" s="107"/>
      <c r="AD59" s="106">
        <v>0</v>
      </c>
      <c r="AE59" s="106">
        <v>0</v>
      </c>
      <c r="AF59" s="106">
        <v>0</v>
      </c>
      <c r="AG59" s="106">
        <v>0</v>
      </c>
      <c r="AH59" s="106">
        <v>0</v>
      </c>
      <c r="AI59" s="106">
        <v>0</v>
      </c>
      <c r="AJ59" s="17">
        <f>[31]Departmentals!$H$46</f>
        <v>2500</v>
      </c>
      <c r="AK59" s="17">
        <v>0</v>
      </c>
      <c r="AL59" s="106"/>
      <c r="AM59" s="17">
        <v>0</v>
      </c>
      <c r="AN59" s="106">
        <v>0</v>
      </c>
      <c r="AO59" s="17">
        <v>0</v>
      </c>
      <c r="AP59" s="106">
        <v>0</v>
      </c>
      <c r="AQ59" s="106">
        <v>0</v>
      </c>
      <c r="AR59" s="106">
        <v>0</v>
      </c>
      <c r="AS59" s="106">
        <v>0</v>
      </c>
      <c r="AT59" s="106">
        <v>0</v>
      </c>
      <c r="AU59" s="106">
        <v>0</v>
      </c>
      <c r="AV59" s="106">
        <v>0</v>
      </c>
      <c r="AW59" s="17">
        <v>0</v>
      </c>
      <c r="AX59" s="17">
        <v>0</v>
      </c>
      <c r="AY59" s="17">
        <v>0</v>
      </c>
      <c r="AZ59" s="106"/>
      <c r="BA59" s="127">
        <f>'[1]Inflation Matrix'!R25</f>
        <v>2584.77</v>
      </c>
      <c r="BB59" s="17">
        <f t="shared" si="7"/>
        <v>77243.77</v>
      </c>
      <c r="BC59" s="131" t="s">
        <v>38</v>
      </c>
      <c r="BD59" s="23" t="s">
        <v>146</v>
      </c>
      <c r="BE59" s="23"/>
      <c r="BF59" s="23"/>
      <c r="BG59" s="23"/>
    </row>
    <row r="60" spans="2:59">
      <c r="B60" s="3">
        <v>64</v>
      </c>
      <c r="C60" s="3" t="s">
        <v>150</v>
      </c>
      <c r="D60" s="88">
        <v>0</v>
      </c>
      <c r="E60" s="17">
        <v>0</v>
      </c>
      <c r="F60" s="17">
        <v>0</v>
      </c>
      <c r="G60" s="17"/>
      <c r="H60" s="17">
        <v>0</v>
      </c>
      <c r="I60" s="17"/>
      <c r="J60" s="106">
        <v>0</v>
      </c>
      <c r="K60" s="17">
        <v>0</v>
      </c>
      <c r="L60" s="106">
        <v>0</v>
      </c>
      <c r="M60" s="106">
        <v>0</v>
      </c>
      <c r="N60" s="106">
        <v>0</v>
      </c>
      <c r="O60" s="106">
        <v>0</v>
      </c>
      <c r="P60" s="106">
        <v>0</v>
      </c>
      <c r="Q60" s="106">
        <v>0</v>
      </c>
      <c r="R60" s="106">
        <v>0</v>
      </c>
      <c r="S60" s="17">
        <v>0</v>
      </c>
      <c r="T60" s="106">
        <v>0</v>
      </c>
      <c r="U60" s="106">
        <v>0</v>
      </c>
      <c r="V60" s="106">
        <v>0</v>
      </c>
      <c r="W60" s="106">
        <v>0</v>
      </c>
      <c r="X60" s="17">
        <v>0</v>
      </c>
      <c r="Y60" s="106">
        <v>0</v>
      </c>
      <c r="Z60" s="106">
        <v>0</v>
      </c>
      <c r="AA60" s="106">
        <v>0</v>
      </c>
      <c r="AB60" s="106">
        <v>0</v>
      </c>
      <c r="AC60" s="107"/>
      <c r="AD60" s="106">
        <v>0</v>
      </c>
      <c r="AE60" s="106">
        <v>0</v>
      </c>
      <c r="AF60" s="106">
        <v>0</v>
      </c>
      <c r="AG60" s="106">
        <v>0</v>
      </c>
      <c r="AH60" s="106">
        <v>0</v>
      </c>
      <c r="AI60" s="106">
        <v>0</v>
      </c>
      <c r="AJ60" s="17">
        <f>[31]Departmentals!$H$18</f>
        <v>0</v>
      </c>
      <c r="AK60" s="17">
        <v>0</v>
      </c>
      <c r="AL60" s="106"/>
      <c r="AM60" s="17">
        <v>0</v>
      </c>
      <c r="AN60" s="106">
        <v>0</v>
      </c>
      <c r="AO60" s="17">
        <v>0</v>
      </c>
      <c r="AP60" s="106">
        <v>0</v>
      </c>
      <c r="AQ60" s="106">
        <v>0</v>
      </c>
      <c r="AR60" s="106">
        <f>[38]Departmentals!$H$31</f>
        <v>568125</v>
      </c>
      <c r="AS60" s="106">
        <v>0</v>
      </c>
      <c r="AT60" s="106">
        <v>0</v>
      </c>
      <c r="AU60" s="106">
        <v>0</v>
      </c>
      <c r="AV60" s="106">
        <v>0</v>
      </c>
      <c r="AW60" s="17">
        <v>0</v>
      </c>
      <c r="AX60" s="17">
        <v>0</v>
      </c>
      <c r="AY60" s="17">
        <v>0</v>
      </c>
      <c r="AZ60" s="106"/>
      <c r="BA60" s="17"/>
      <c r="BB60" s="17">
        <f>SUM(D60:BA60)</f>
        <v>568125</v>
      </c>
      <c r="BC60" s="131" t="s">
        <v>38</v>
      </c>
      <c r="BD60" s="23" t="s">
        <v>118</v>
      </c>
      <c r="BE60" s="23"/>
      <c r="BF60" s="23"/>
      <c r="BG60" s="23"/>
    </row>
    <row r="61" spans="2:59">
      <c r="B61" s="3">
        <v>65</v>
      </c>
      <c r="C61" s="3" t="s">
        <v>151</v>
      </c>
      <c r="D61" s="88">
        <v>0</v>
      </c>
      <c r="E61" s="17">
        <v>0</v>
      </c>
      <c r="F61" s="17"/>
      <c r="G61" s="17"/>
      <c r="H61" s="17">
        <v>0</v>
      </c>
      <c r="I61" s="17"/>
      <c r="J61" s="106">
        <v>0</v>
      </c>
      <c r="K61" s="17">
        <v>0</v>
      </c>
      <c r="L61" s="106">
        <v>0</v>
      </c>
      <c r="M61" s="106">
        <v>0</v>
      </c>
      <c r="N61" s="106">
        <v>0</v>
      </c>
      <c r="O61" s="106">
        <v>0</v>
      </c>
      <c r="P61" s="106">
        <v>0</v>
      </c>
      <c r="Q61" s="106">
        <v>0</v>
      </c>
      <c r="R61" s="106">
        <v>0</v>
      </c>
      <c r="S61" s="17"/>
      <c r="T61" s="106">
        <v>0</v>
      </c>
      <c r="U61" s="106">
        <v>0</v>
      </c>
      <c r="V61" s="106">
        <v>0</v>
      </c>
      <c r="W61" s="106">
        <v>0</v>
      </c>
      <c r="X61" s="17"/>
      <c r="Y61" s="106">
        <v>0</v>
      </c>
      <c r="Z61" s="106">
        <v>0</v>
      </c>
      <c r="AA61" s="106">
        <v>0</v>
      </c>
      <c r="AB61" s="106">
        <v>0</v>
      </c>
      <c r="AC61" s="107"/>
      <c r="AD61" s="106">
        <v>0</v>
      </c>
      <c r="AE61" s="106">
        <v>0</v>
      </c>
      <c r="AF61" s="106">
        <v>0</v>
      </c>
      <c r="AG61" s="106">
        <v>0</v>
      </c>
      <c r="AH61" s="106">
        <v>0</v>
      </c>
      <c r="AI61" s="106">
        <v>0</v>
      </c>
      <c r="AJ61" s="17">
        <f>[31]Departmentals!$H$18</f>
        <v>0</v>
      </c>
      <c r="AK61" s="17">
        <v>0</v>
      </c>
      <c r="AL61" s="106"/>
      <c r="AM61" s="17">
        <v>0</v>
      </c>
      <c r="AN61" s="106">
        <v>0</v>
      </c>
      <c r="AO61" s="17"/>
      <c r="AP61" s="106">
        <f>'[36]Departmentals 86'!$H$30</f>
        <v>21800</v>
      </c>
      <c r="AQ61" s="106">
        <v>0</v>
      </c>
      <c r="AR61" s="106">
        <v>0</v>
      </c>
      <c r="AS61" s="106">
        <v>0</v>
      </c>
      <c r="AT61" s="106">
        <v>0</v>
      </c>
      <c r="AU61" s="106">
        <v>0</v>
      </c>
      <c r="AV61" s="106">
        <v>0</v>
      </c>
      <c r="AW61" s="17">
        <v>0</v>
      </c>
      <c r="AX61" s="17">
        <v>0</v>
      </c>
      <c r="AY61" s="17"/>
      <c r="AZ61" s="106"/>
      <c r="BA61" s="17"/>
      <c r="BB61" s="17">
        <v>0</v>
      </c>
      <c r="BC61" s="131" t="s">
        <v>38</v>
      </c>
      <c r="BD61" s="23" t="s">
        <v>38</v>
      </c>
      <c r="BE61" s="23"/>
      <c r="BF61" s="23"/>
      <c r="BG61" s="23"/>
    </row>
    <row r="62" spans="2:59">
      <c r="B62" s="3">
        <v>78</v>
      </c>
      <c r="C62" s="3" t="s">
        <v>152</v>
      </c>
      <c r="D62" s="88">
        <v>0</v>
      </c>
      <c r="E62" s="17">
        <f>[3]Departmentals!$H$36</f>
        <v>7200</v>
      </c>
      <c r="F62" s="17">
        <v>0</v>
      </c>
      <c r="G62" s="17"/>
      <c r="H62" s="17">
        <f>[5]Departmentals!$H$30</f>
        <v>14000</v>
      </c>
      <c r="I62" s="17"/>
      <c r="J62" s="106">
        <v>0</v>
      </c>
      <c r="K62" s="17">
        <v>0</v>
      </c>
      <c r="L62" s="106">
        <v>0</v>
      </c>
      <c r="M62" s="106">
        <f>[9]Departmentals!$H$37</f>
        <v>27530.720000000001</v>
      </c>
      <c r="N62" s="106">
        <v>0</v>
      </c>
      <c r="O62" s="106">
        <v>0</v>
      </c>
      <c r="P62" s="106">
        <v>0</v>
      </c>
      <c r="Q62" s="106">
        <v>0</v>
      </c>
      <c r="R62" s="106">
        <f>[14]Departmentals!$H$33</f>
        <v>1900</v>
      </c>
      <c r="S62" s="17">
        <v>0</v>
      </c>
      <c r="T62" s="106">
        <v>0</v>
      </c>
      <c r="U62" s="106">
        <v>0</v>
      </c>
      <c r="V62" s="106">
        <v>0</v>
      </c>
      <c r="W62" s="106">
        <v>0</v>
      </c>
      <c r="X62" s="17">
        <v>0</v>
      </c>
      <c r="Y62" s="106">
        <v>0</v>
      </c>
      <c r="Z62" s="106">
        <f>[22]Departmentals!$H$37</f>
        <v>363.68099999999998</v>
      </c>
      <c r="AA62" s="106">
        <v>0</v>
      </c>
      <c r="AB62" s="106">
        <v>0</v>
      </c>
      <c r="AC62" s="107"/>
      <c r="AD62" s="106">
        <v>0</v>
      </c>
      <c r="AE62" s="106">
        <v>0</v>
      </c>
      <c r="AF62" s="106">
        <v>0</v>
      </c>
      <c r="AG62" s="106">
        <v>0</v>
      </c>
      <c r="AH62" s="106">
        <v>0</v>
      </c>
      <c r="AI62" s="106">
        <v>0</v>
      </c>
      <c r="AJ62" s="17">
        <f>[31]Departmentals!$H$49</f>
        <v>0</v>
      </c>
      <c r="AK62" s="17">
        <v>0</v>
      </c>
      <c r="AL62" s="106"/>
      <c r="AM62" s="17">
        <v>0</v>
      </c>
      <c r="AN62" s="106">
        <v>0</v>
      </c>
      <c r="AO62" s="17">
        <v>0</v>
      </c>
      <c r="AP62" s="106">
        <f>'[36]Departmentals 86'!$H$31</f>
        <v>6600</v>
      </c>
      <c r="AQ62" s="106">
        <v>0</v>
      </c>
      <c r="AR62" s="106">
        <f>[38]Departmentals!$H$34</f>
        <v>500</v>
      </c>
      <c r="AS62" s="106">
        <v>0</v>
      </c>
      <c r="AT62" s="106">
        <v>0</v>
      </c>
      <c r="AU62" s="106">
        <f>[41]Departmentals!$H$27</f>
        <v>1540</v>
      </c>
      <c r="AV62" s="106">
        <v>0</v>
      </c>
      <c r="AW62" s="17">
        <v>0</v>
      </c>
      <c r="AX62" s="17">
        <v>0</v>
      </c>
      <c r="AY62" s="17">
        <v>0</v>
      </c>
      <c r="AZ62" s="106"/>
      <c r="BA62" s="17"/>
      <c r="BB62" s="17">
        <f t="shared" si="7"/>
        <v>59634.400999999998</v>
      </c>
      <c r="BC62" s="131" t="s">
        <v>38</v>
      </c>
      <c r="BD62" s="23" t="s">
        <v>118</v>
      </c>
      <c r="BE62" s="23"/>
      <c r="BF62" s="23"/>
      <c r="BG62" s="23"/>
    </row>
    <row r="63" spans="2:59">
      <c r="B63" s="3">
        <v>79</v>
      </c>
      <c r="C63" s="3" t="s">
        <v>153</v>
      </c>
      <c r="D63" s="88">
        <f>[2]Departmentals!$H$25</f>
        <v>0</v>
      </c>
      <c r="E63" s="17">
        <v>0</v>
      </c>
      <c r="F63" s="17">
        <v>0</v>
      </c>
      <c r="G63" s="17"/>
      <c r="H63" s="17">
        <v>0</v>
      </c>
      <c r="I63" s="17"/>
      <c r="J63" s="106">
        <v>0</v>
      </c>
      <c r="K63" s="17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0</v>
      </c>
      <c r="Q63" s="106">
        <v>0</v>
      </c>
      <c r="R63" s="106">
        <v>0</v>
      </c>
      <c r="S63" s="17">
        <v>0</v>
      </c>
      <c r="T63" s="106">
        <v>0</v>
      </c>
      <c r="U63" s="106">
        <v>0</v>
      </c>
      <c r="V63" s="106">
        <v>0</v>
      </c>
      <c r="W63" s="106">
        <v>0</v>
      </c>
      <c r="X63" s="17">
        <v>0</v>
      </c>
      <c r="Y63" s="106">
        <v>0</v>
      </c>
      <c r="Z63" s="106">
        <v>0</v>
      </c>
      <c r="AA63" s="106">
        <v>0</v>
      </c>
      <c r="AB63" s="106">
        <v>0</v>
      </c>
      <c r="AC63" s="107"/>
      <c r="AD63" s="106">
        <v>0</v>
      </c>
      <c r="AE63" s="106">
        <v>0</v>
      </c>
      <c r="AF63" s="106">
        <v>0</v>
      </c>
      <c r="AG63" s="106">
        <v>0</v>
      </c>
      <c r="AH63" s="106">
        <v>0</v>
      </c>
      <c r="AI63" s="106">
        <f>'[30]New 678'!$H$41</f>
        <v>100</v>
      </c>
      <c r="AJ63" s="17">
        <f>[31]Departmentals!$H$50</f>
        <v>270</v>
      </c>
      <c r="AK63" s="17">
        <v>0</v>
      </c>
      <c r="AL63" s="106"/>
      <c r="AM63" s="17">
        <v>0</v>
      </c>
      <c r="AN63" s="106">
        <v>0</v>
      </c>
      <c r="AO63" s="17">
        <v>0</v>
      </c>
      <c r="AP63" s="106">
        <f>'[36]Departmentals 86'!$H$32</f>
        <v>7126</v>
      </c>
      <c r="AQ63" s="106">
        <v>0</v>
      </c>
      <c r="AR63" s="106">
        <f>[38]Departmentals!$H$35</f>
        <v>504</v>
      </c>
      <c r="AS63" s="106">
        <v>0</v>
      </c>
      <c r="AT63" s="106">
        <v>0</v>
      </c>
      <c r="AU63" s="106">
        <v>0</v>
      </c>
      <c r="AV63" s="106">
        <v>0</v>
      </c>
      <c r="AW63" s="17">
        <v>0</v>
      </c>
      <c r="AX63" s="17">
        <v>0</v>
      </c>
      <c r="AY63" s="17">
        <v>0</v>
      </c>
      <c r="AZ63" s="106"/>
      <c r="BA63" s="17"/>
      <c r="BB63" s="17">
        <f>SUM(D63:BA63)</f>
        <v>8000</v>
      </c>
      <c r="BC63" s="130" t="s">
        <v>37</v>
      </c>
      <c r="BD63" s="23" t="s">
        <v>37</v>
      </c>
      <c r="BE63" s="23"/>
      <c r="BF63" s="23"/>
      <c r="BG63" s="23"/>
    </row>
    <row r="64" spans="2:59">
      <c r="B64" s="3">
        <v>80</v>
      </c>
      <c r="C64" s="3" t="s">
        <v>154</v>
      </c>
      <c r="D64" s="88">
        <v>0</v>
      </c>
      <c r="E64" s="17">
        <v>0</v>
      </c>
      <c r="F64" s="17">
        <v>0</v>
      </c>
      <c r="G64" s="17"/>
      <c r="H64" s="17">
        <f>[5]Departmentals!$H$32</f>
        <v>400</v>
      </c>
      <c r="I64" s="17"/>
      <c r="J64" s="106">
        <v>0</v>
      </c>
      <c r="K64" s="17">
        <v>0</v>
      </c>
      <c r="L64" s="106">
        <v>0</v>
      </c>
      <c r="M64" s="106">
        <v>0</v>
      </c>
      <c r="N64" s="106">
        <v>0</v>
      </c>
      <c r="O64" s="106">
        <v>0</v>
      </c>
      <c r="P64" s="106">
        <v>0</v>
      </c>
      <c r="Q64" s="106">
        <v>0</v>
      </c>
      <c r="R64" s="106">
        <v>0</v>
      </c>
      <c r="S64" s="17">
        <v>0</v>
      </c>
      <c r="T64" s="106">
        <v>0</v>
      </c>
      <c r="U64" s="106">
        <f>[17]Departmentals!$H$20</f>
        <v>500</v>
      </c>
      <c r="V64" s="106">
        <v>0</v>
      </c>
      <c r="W64" s="106">
        <v>0</v>
      </c>
      <c r="X64" s="17">
        <v>0</v>
      </c>
      <c r="Y64" s="106">
        <f>[21]Departmentals!$H$36</f>
        <v>500</v>
      </c>
      <c r="Z64" s="106">
        <v>0</v>
      </c>
      <c r="AA64" s="106">
        <v>0</v>
      </c>
      <c r="AB64" s="106">
        <v>0</v>
      </c>
      <c r="AC64" s="107"/>
      <c r="AD64" s="106">
        <f>[25]Departmentals!$D$30</f>
        <v>26000</v>
      </c>
      <c r="AE64" s="106">
        <v>0</v>
      </c>
      <c r="AF64" s="106">
        <v>0</v>
      </c>
      <c r="AG64" s="106">
        <v>0</v>
      </c>
      <c r="AH64" s="106">
        <v>0</v>
      </c>
      <c r="AI64" s="106">
        <f>'[30]New 678'!$H$43</f>
        <v>5500</v>
      </c>
      <c r="AJ64" s="17">
        <f>[31]Departmentals!$H$52</f>
        <v>3000</v>
      </c>
      <c r="AK64" s="17">
        <v>0</v>
      </c>
      <c r="AL64" s="106"/>
      <c r="AM64" s="17">
        <v>0</v>
      </c>
      <c r="AN64" s="106">
        <v>0</v>
      </c>
      <c r="AO64" s="17">
        <v>0</v>
      </c>
      <c r="AP64" s="106">
        <v>0</v>
      </c>
      <c r="AQ64" s="106">
        <v>0</v>
      </c>
      <c r="AR64" s="106">
        <v>0</v>
      </c>
      <c r="AS64" s="106">
        <f>[39]Departmentals!$H$27</f>
        <v>14400</v>
      </c>
      <c r="AT64" s="106">
        <v>0</v>
      </c>
      <c r="AU64" s="106">
        <v>0</v>
      </c>
      <c r="AV64" s="106">
        <f>[42]Departmentals!$H$29</f>
        <v>80000</v>
      </c>
      <c r="AW64" s="17">
        <f>[43]Departmentals!$H$28</f>
        <v>93500</v>
      </c>
      <c r="AX64" s="17">
        <f>[44]Departmentals!$H$28</f>
        <v>250</v>
      </c>
      <c r="AY64" s="17">
        <v>0</v>
      </c>
      <c r="AZ64" s="106"/>
      <c r="BA64" s="17"/>
      <c r="BB64" s="17">
        <f t="shared" si="7"/>
        <v>224050</v>
      </c>
      <c r="BC64" s="132" t="s">
        <v>118</v>
      </c>
      <c r="BD64" s="23" t="s">
        <v>118</v>
      </c>
      <c r="BE64" s="23"/>
      <c r="BF64" s="23"/>
      <c r="BG64" s="23"/>
    </row>
    <row r="65" spans="1:59">
      <c r="B65" s="3">
        <v>81</v>
      </c>
      <c r="C65" s="3" t="s">
        <v>155</v>
      </c>
      <c r="D65" s="88">
        <v>0</v>
      </c>
      <c r="E65" s="17">
        <f>[3]Departmentals!$H$39</f>
        <v>387.31000000000006</v>
      </c>
      <c r="F65" s="17">
        <v>0</v>
      </c>
      <c r="G65" s="17"/>
      <c r="H65" s="17">
        <f>[5]Departmentals!$H$33</f>
        <v>5000</v>
      </c>
      <c r="I65" s="17"/>
      <c r="J65" s="106">
        <v>0</v>
      </c>
      <c r="K65" s="17">
        <v>0</v>
      </c>
      <c r="L65" s="106">
        <v>0</v>
      </c>
      <c r="M65" s="106">
        <f>[9]Departmentals!$H$39</f>
        <v>1086.6199999999999</v>
      </c>
      <c r="N65" s="106">
        <v>0</v>
      </c>
      <c r="O65" s="106">
        <f>[11]Departmentals!$J$41</f>
        <v>1110</v>
      </c>
      <c r="P65" s="106">
        <f>[12]Departmentals!$H$35</f>
        <v>500</v>
      </c>
      <c r="Q65" s="106">
        <v>0</v>
      </c>
      <c r="R65" s="106">
        <v>0</v>
      </c>
      <c r="S65" s="17">
        <f>[15]Departmentals!$H$23</f>
        <v>0</v>
      </c>
      <c r="T65" s="106">
        <f>[16]Departmentals!$H$37</f>
        <v>0</v>
      </c>
      <c r="U65" s="106">
        <v>0</v>
      </c>
      <c r="V65" s="106">
        <v>0</v>
      </c>
      <c r="W65" s="106">
        <v>0</v>
      </c>
      <c r="X65" s="17">
        <v>0</v>
      </c>
      <c r="Y65" s="106">
        <f>[21]Departmentals!$H$37</f>
        <v>4000</v>
      </c>
      <c r="Z65" s="106">
        <f>[22]Departmentals!$H$39</f>
        <v>66.789000000000001</v>
      </c>
      <c r="AA65" s="106">
        <f>[23]Departmentals!$H$28</f>
        <v>200</v>
      </c>
      <c r="AB65" s="106">
        <v>0</v>
      </c>
      <c r="AC65" s="107"/>
      <c r="AD65" s="106">
        <f>[25]Departmentals!$D$31</f>
        <v>1800</v>
      </c>
      <c r="AE65" s="106">
        <v>0</v>
      </c>
      <c r="AF65" s="106">
        <v>0</v>
      </c>
      <c r="AG65" s="106">
        <v>0</v>
      </c>
      <c r="AH65" s="106">
        <f>[29]Departmentals!$H$31</f>
        <v>240</v>
      </c>
      <c r="AI65" s="106">
        <f>'[30]New 678'!$H$46</f>
        <v>250</v>
      </c>
      <c r="AJ65" s="17">
        <f>[31]Departmentals!$H$18</f>
        <v>0</v>
      </c>
      <c r="AK65" s="17">
        <f>[32]Departmentals!$H$33</f>
        <v>300</v>
      </c>
      <c r="AL65" s="106"/>
      <c r="AM65" s="17">
        <v>0</v>
      </c>
      <c r="AN65" s="106">
        <v>0</v>
      </c>
      <c r="AO65" s="17">
        <v>0</v>
      </c>
      <c r="AP65" s="106">
        <v>0</v>
      </c>
      <c r="AQ65" s="106">
        <v>0</v>
      </c>
      <c r="AR65" s="106">
        <f>[38]Departmentals!$H$38</f>
        <v>1000</v>
      </c>
      <c r="AS65" s="106">
        <f>[39]Departmentals!$H$28</f>
        <v>200</v>
      </c>
      <c r="AT65" s="106">
        <v>0</v>
      </c>
      <c r="AU65" s="106">
        <f>[41]Departmentals!$H$30</f>
        <v>200</v>
      </c>
      <c r="AV65" s="106">
        <f>[42]Departmentals!$H$30</f>
        <v>500</v>
      </c>
      <c r="AW65" s="17">
        <f>[43]Departmentals!$H$29</f>
        <v>500</v>
      </c>
      <c r="AX65" s="17">
        <v>0</v>
      </c>
      <c r="AY65" s="17">
        <v>0</v>
      </c>
      <c r="AZ65" s="106"/>
      <c r="BA65" s="17"/>
      <c r="BB65" s="17">
        <f t="shared" si="7"/>
        <v>17340.719000000001</v>
      </c>
      <c r="BC65" s="132" t="s">
        <v>118</v>
      </c>
      <c r="BD65" s="23" t="s">
        <v>118</v>
      </c>
      <c r="BE65" s="23"/>
      <c r="BF65" s="23"/>
      <c r="BG65" s="23"/>
    </row>
    <row r="66" spans="1:59">
      <c r="B66" s="3">
        <v>82</v>
      </c>
      <c r="C66" s="3" t="s">
        <v>156</v>
      </c>
      <c r="D66" s="88">
        <v>0</v>
      </c>
      <c r="E66" s="17">
        <f>[3]Departmentals!$H$40</f>
        <v>264</v>
      </c>
      <c r="F66" s="17">
        <v>0</v>
      </c>
      <c r="G66" s="17"/>
      <c r="H66" s="17">
        <v>0</v>
      </c>
      <c r="I66" s="17"/>
      <c r="J66" s="106">
        <v>0</v>
      </c>
      <c r="K66" s="17">
        <v>0</v>
      </c>
      <c r="L66" s="106">
        <f>[8]Departmentals!$H$40</f>
        <v>100</v>
      </c>
      <c r="M66" s="106">
        <f>[9]Departmentals!$H$40</f>
        <v>1500</v>
      </c>
      <c r="N66" s="106">
        <v>0</v>
      </c>
      <c r="O66" s="106">
        <v>0</v>
      </c>
      <c r="P66" s="106">
        <f>[12]Departmentals!$H$33</f>
        <v>400</v>
      </c>
      <c r="Q66" s="106">
        <v>0</v>
      </c>
      <c r="R66" s="106">
        <v>0</v>
      </c>
      <c r="S66" s="17">
        <v>0</v>
      </c>
      <c r="T66" s="106">
        <v>0</v>
      </c>
      <c r="U66" s="106">
        <f>[17]Departmentals!$H$21</f>
        <v>1250</v>
      </c>
      <c r="V66" s="106">
        <f>[18]Departmentals!$H$37</f>
        <v>4700</v>
      </c>
      <c r="W66" s="106">
        <v>0</v>
      </c>
      <c r="X66" s="17">
        <v>0</v>
      </c>
      <c r="Y66" s="106">
        <f>[21]Departmentals!$H$38</f>
        <v>100</v>
      </c>
      <c r="Z66" s="106">
        <f>[22]Departmentals!$H$40</f>
        <v>50187.5</v>
      </c>
      <c r="AA66" s="106">
        <v>0</v>
      </c>
      <c r="AB66" s="106">
        <f>[24]Departmentals!$H$28</f>
        <v>4500</v>
      </c>
      <c r="AC66" s="107"/>
      <c r="AD66" s="106">
        <v>0</v>
      </c>
      <c r="AE66" s="106">
        <f>[26]Departmentals!$H$31</f>
        <v>3000</v>
      </c>
      <c r="AF66" s="106">
        <f>[27]Departmentals!$H$23</f>
        <v>8000</v>
      </c>
      <c r="AG66" s="106">
        <v>0</v>
      </c>
      <c r="AH66" s="106">
        <v>0</v>
      </c>
      <c r="AI66" s="106">
        <f>'[30]New 678'!$H$44</f>
        <v>1500</v>
      </c>
      <c r="AJ66" s="17">
        <f>[31]Departmentals!$H$54</f>
        <v>800</v>
      </c>
      <c r="AK66" s="17">
        <v>0</v>
      </c>
      <c r="AL66" s="106"/>
      <c r="AM66" s="17">
        <v>0</v>
      </c>
      <c r="AN66" s="106">
        <v>0</v>
      </c>
      <c r="AO66" s="17">
        <v>0</v>
      </c>
      <c r="AP66" s="106">
        <f>'[36]Departmentals 86'!$H$34</f>
        <v>1200</v>
      </c>
      <c r="AQ66" s="106">
        <v>0</v>
      </c>
      <c r="AR66" s="106">
        <f>[38]Departmentals!$H$39</f>
        <v>1000</v>
      </c>
      <c r="AS66" s="106">
        <v>0</v>
      </c>
      <c r="AT66" s="106">
        <v>0</v>
      </c>
      <c r="AU66" s="106">
        <v>0</v>
      </c>
      <c r="AV66" s="106">
        <v>0</v>
      </c>
      <c r="AW66" s="17">
        <v>0</v>
      </c>
      <c r="AX66" s="17">
        <v>0</v>
      </c>
      <c r="AY66" s="17">
        <v>0</v>
      </c>
      <c r="AZ66" s="106"/>
      <c r="BA66" s="17"/>
      <c r="BB66" s="17">
        <f t="shared" si="7"/>
        <v>78501.5</v>
      </c>
      <c r="BC66" s="132" t="s">
        <v>118</v>
      </c>
      <c r="BD66" s="23" t="s">
        <v>118</v>
      </c>
      <c r="BE66" s="23"/>
      <c r="BF66" s="23"/>
      <c r="BG66" s="23"/>
    </row>
    <row r="67" spans="1:59">
      <c r="B67" s="3">
        <v>83</v>
      </c>
      <c r="C67" s="3" t="s">
        <v>157</v>
      </c>
      <c r="D67" s="88">
        <f>[2]Departmentals!$H$27</f>
        <v>0</v>
      </c>
      <c r="E67" s="17">
        <f>[3]Departmentals!$H$41</f>
        <v>200</v>
      </c>
      <c r="F67" s="17">
        <f>[4]Departmentals!$H$37</f>
        <v>0</v>
      </c>
      <c r="G67" s="17"/>
      <c r="H67" s="17">
        <f>[5]Departmentals!$H$34</f>
        <v>4600</v>
      </c>
      <c r="I67" s="17"/>
      <c r="J67" s="106">
        <f>[6]Departmentals!$H$26</f>
        <v>400</v>
      </c>
      <c r="K67" s="17">
        <f>[7]Departmentals!$H$35</f>
        <v>142</v>
      </c>
      <c r="L67" s="106">
        <f>[8]Departmentals!$H$41</f>
        <v>1200</v>
      </c>
      <c r="M67" s="106">
        <f>[9]Departmentals!$H$41</f>
        <v>500</v>
      </c>
      <c r="N67" s="106">
        <v>0</v>
      </c>
      <c r="O67" s="106">
        <f>[11]Departmentals!$J$43</f>
        <v>800</v>
      </c>
      <c r="P67" s="106">
        <f>[12]Departmentals!$H$34</f>
        <v>1200</v>
      </c>
      <c r="Q67" s="106">
        <v>0</v>
      </c>
      <c r="R67" s="106">
        <v>0</v>
      </c>
      <c r="S67" s="17">
        <v>0</v>
      </c>
      <c r="T67" s="106">
        <v>0</v>
      </c>
      <c r="U67" s="106">
        <f>[17]Departmentals!$H$22</f>
        <v>1250</v>
      </c>
      <c r="V67" s="106">
        <f>[18]Departmentals!$H$38</f>
        <v>4500</v>
      </c>
      <c r="W67" s="106">
        <v>0</v>
      </c>
      <c r="X67" s="17">
        <v>0</v>
      </c>
      <c r="Y67" s="106">
        <f>[21]Departmentals!$H$39</f>
        <v>1500</v>
      </c>
      <c r="Z67" s="106">
        <f>[22]Departmentals!$H$41</f>
        <v>1000</v>
      </c>
      <c r="AA67" s="106">
        <f>[23]Departmentals!$H$29</f>
        <v>100</v>
      </c>
      <c r="AB67" s="106">
        <f>[24]Departmentals!$H$29</f>
        <v>2700</v>
      </c>
      <c r="AC67" s="107"/>
      <c r="AD67" s="106">
        <f>[25]Departmentals!$D$33</f>
        <v>360</v>
      </c>
      <c r="AE67" s="106">
        <v>0</v>
      </c>
      <c r="AF67" s="106">
        <v>0</v>
      </c>
      <c r="AG67" s="106">
        <v>0</v>
      </c>
      <c r="AH67" s="106">
        <f>[29]Departmentals!$H$33</f>
        <v>250</v>
      </c>
      <c r="AI67" s="106">
        <f>'[30]New 678'!$H$45</f>
        <v>2200</v>
      </c>
      <c r="AJ67" s="17">
        <f>[31]Departmentals!$H$55</f>
        <v>50</v>
      </c>
      <c r="AK67" s="17">
        <f>[32]Departmentals!$H$34</f>
        <v>150</v>
      </c>
      <c r="AL67" s="106"/>
      <c r="AM67" s="17">
        <v>0</v>
      </c>
      <c r="AN67" s="106">
        <v>0</v>
      </c>
      <c r="AO67" s="17">
        <v>0</v>
      </c>
      <c r="AP67" s="106">
        <f>'[36]Departmentals 86'!$H$35</f>
        <v>200</v>
      </c>
      <c r="AQ67" s="106">
        <v>0</v>
      </c>
      <c r="AR67" s="106">
        <f>[38]Departmentals!$H$40</f>
        <v>68882</v>
      </c>
      <c r="AS67" s="106">
        <f>[39]Departmentals!$H$29</f>
        <v>1003</v>
      </c>
      <c r="AT67" s="106">
        <f>[40]Departmentals!$H$26</f>
        <v>50</v>
      </c>
      <c r="AU67" s="106">
        <f>[41]Departmentals!$H$31</f>
        <v>100</v>
      </c>
      <c r="AV67" s="106">
        <f>[42]Departmentals!$H$31</f>
        <v>850</v>
      </c>
      <c r="AW67" s="17">
        <f>[43]Departmentals!$H$30</f>
        <v>800</v>
      </c>
      <c r="AX67" s="17">
        <f>[44]Departmentals!$H$29</f>
        <v>1673</v>
      </c>
      <c r="AY67" s="17">
        <v>0</v>
      </c>
      <c r="AZ67" s="106"/>
      <c r="BA67" s="17"/>
      <c r="BB67" s="17">
        <f t="shared" si="7"/>
        <v>96660</v>
      </c>
      <c r="BC67" s="132" t="s">
        <v>118</v>
      </c>
      <c r="BD67" s="23" t="s">
        <v>118</v>
      </c>
      <c r="BE67" s="23"/>
      <c r="BF67" s="23"/>
      <c r="BG67" s="23"/>
    </row>
    <row r="68" spans="1:59">
      <c r="B68" s="3">
        <v>85</v>
      </c>
      <c r="C68" s="3" t="s">
        <v>158</v>
      </c>
      <c r="D68" s="88">
        <v>0</v>
      </c>
      <c r="E68" s="17">
        <f>[3]Departmentals!$H$43</f>
        <v>2000</v>
      </c>
      <c r="F68" s="17">
        <v>0</v>
      </c>
      <c r="G68" s="17"/>
      <c r="H68" s="17">
        <f>[5]Departmentals!$H$36</f>
        <v>400</v>
      </c>
      <c r="I68" s="17"/>
      <c r="J68" s="106">
        <f>[6]Departmentals!$H$28</f>
        <v>1000</v>
      </c>
      <c r="K68" s="17">
        <f>[7]Departmentals!$H$37</f>
        <v>120</v>
      </c>
      <c r="L68" s="106">
        <f>[8]Departmentals!$H$43</f>
        <v>100</v>
      </c>
      <c r="M68" s="106">
        <f>[9]Departmentals!$H$43</f>
        <v>1500</v>
      </c>
      <c r="N68" s="106">
        <v>0</v>
      </c>
      <c r="O68" s="106">
        <f>[11]Departmentals!$J$45</f>
        <v>1500</v>
      </c>
      <c r="P68" s="106">
        <v>0</v>
      </c>
      <c r="Q68" s="106">
        <v>0</v>
      </c>
      <c r="R68" s="106">
        <v>0</v>
      </c>
      <c r="S68" s="17">
        <v>0</v>
      </c>
      <c r="T68" s="106">
        <v>0</v>
      </c>
      <c r="U68" s="106">
        <v>0</v>
      </c>
      <c r="V68" s="106">
        <f>[18]Departmentals!$H$39</f>
        <v>1000</v>
      </c>
      <c r="W68" s="106">
        <v>0</v>
      </c>
      <c r="X68" s="17">
        <v>0</v>
      </c>
      <c r="Y68" s="106">
        <v>0</v>
      </c>
      <c r="Z68" s="106">
        <f>[22]Departmentals!$H$43</f>
        <v>1717.26</v>
      </c>
      <c r="AA68" s="106">
        <v>0</v>
      </c>
      <c r="AB68" s="106">
        <v>0</v>
      </c>
      <c r="AC68" s="107"/>
      <c r="AD68" s="106">
        <v>0</v>
      </c>
      <c r="AE68" s="106">
        <v>0</v>
      </c>
      <c r="AF68" s="106">
        <v>0</v>
      </c>
      <c r="AG68" s="106">
        <v>0</v>
      </c>
      <c r="AH68" s="106">
        <f>[29]Departmentals!$H$34</f>
        <v>100</v>
      </c>
      <c r="AI68" s="106">
        <v>0</v>
      </c>
      <c r="AJ68" s="17">
        <f>[31]Departmentals!$H$18</f>
        <v>0</v>
      </c>
      <c r="AK68" s="17">
        <f>[32]Departmentals!$H$36</f>
        <v>500</v>
      </c>
      <c r="AL68" s="106">
        <f>[46]Departmentals!$D$33</f>
        <v>30000</v>
      </c>
      <c r="AM68" s="17">
        <v>0</v>
      </c>
      <c r="AN68" s="106">
        <v>0</v>
      </c>
      <c r="AO68" s="17">
        <v>0</v>
      </c>
      <c r="AP68" s="106">
        <v>0</v>
      </c>
      <c r="AQ68" s="106">
        <v>0</v>
      </c>
      <c r="AR68" s="106">
        <f>[38]Departmentals!$H$41</f>
        <v>15000</v>
      </c>
      <c r="AS68" s="106">
        <f>[39]Departmentals!$H$31</f>
        <v>200</v>
      </c>
      <c r="AT68" s="106">
        <v>0</v>
      </c>
      <c r="AU68" s="106">
        <f>[41]Departmentals!$H$32</f>
        <v>14000</v>
      </c>
      <c r="AV68" s="106">
        <f>[42]Departmentals!$H$33</f>
        <v>16340</v>
      </c>
      <c r="AW68" s="17">
        <v>0</v>
      </c>
      <c r="AX68" s="17">
        <v>0</v>
      </c>
      <c r="AY68" s="17">
        <v>0</v>
      </c>
      <c r="AZ68" s="133">
        <f>[47]Departmentals!$D$33</f>
        <v>97000</v>
      </c>
      <c r="BA68" s="17"/>
      <c r="BB68" s="17">
        <f t="shared" si="7"/>
        <v>182477.26</v>
      </c>
      <c r="BC68" s="132" t="s">
        <v>118</v>
      </c>
      <c r="BD68" s="23" t="s">
        <v>118</v>
      </c>
      <c r="BE68" s="23"/>
      <c r="BF68" s="23"/>
      <c r="BG68" s="23"/>
    </row>
    <row r="69" spans="1:59">
      <c r="B69" s="3">
        <v>86</v>
      </c>
      <c r="C69" s="3" t="s">
        <v>159</v>
      </c>
      <c r="D69" s="88">
        <v>0</v>
      </c>
      <c r="E69" s="17">
        <f>[3]Departmentals!$H$44</f>
        <v>15000</v>
      </c>
      <c r="F69" s="17">
        <f>[4]Departmentals!$H$40</f>
        <v>3000</v>
      </c>
      <c r="G69" s="17"/>
      <c r="H69" s="17">
        <f>[5]Departmentals!$H$37</f>
        <v>1600</v>
      </c>
      <c r="I69" s="17"/>
      <c r="J69" s="106">
        <f>[6]Departmentals!$H$29</f>
        <v>4000</v>
      </c>
      <c r="K69" s="17">
        <f>[7]Departmentals!$H$38</f>
        <v>2500</v>
      </c>
      <c r="L69" s="106">
        <f>[8]Departmentals!$H$44</f>
        <v>2000</v>
      </c>
      <c r="M69" s="106">
        <f>[9]Departmentals!$H$44</f>
        <v>2000</v>
      </c>
      <c r="N69" s="106">
        <v>0</v>
      </c>
      <c r="O69" s="106">
        <f>[11]Departmentals!$J$46</f>
        <v>1000</v>
      </c>
      <c r="P69" s="106">
        <f>[12]Departmentals!$H$36</f>
        <v>1500</v>
      </c>
      <c r="Q69" s="106">
        <f>'[13]Dept by SU'!$L$31</f>
        <v>1500</v>
      </c>
      <c r="R69" s="106">
        <f>[14]Departmentals!$H$35</f>
        <v>550</v>
      </c>
      <c r="S69" s="17">
        <f>[15]Departmentals!$H$24</f>
        <v>500</v>
      </c>
      <c r="T69" s="106">
        <f>[16]Departmentals!$H$38</f>
        <v>7500</v>
      </c>
      <c r="U69" s="106">
        <f>[17]Departmentals!$H$23</f>
        <v>15000</v>
      </c>
      <c r="V69" s="106">
        <v>0</v>
      </c>
      <c r="W69" s="106">
        <v>0</v>
      </c>
      <c r="X69" s="17">
        <v>0</v>
      </c>
      <c r="Y69" s="106">
        <f>[21]Departmentals!$H$42</f>
        <v>1600</v>
      </c>
      <c r="Z69" s="106">
        <f>[22]Departmentals!$H$44</f>
        <v>1005</v>
      </c>
      <c r="AA69" s="106">
        <f>'[23]Dept by SU'!$H$32</f>
        <v>3000</v>
      </c>
      <c r="AB69" s="106">
        <f>[24]Departmentals!$H$31</f>
        <v>5000</v>
      </c>
      <c r="AC69" s="107"/>
      <c r="AD69" s="106">
        <f>[25]Departmentals!$D$36</f>
        <v>1200</v>
      </c>
      <c r="AE69" s="106">
        <v>0</v>
      </c>
      <c r="AF69" s="106">
        <v>0</v>
      </c>
      <c r="AG69" s="106">
        <v>0</v>
      </c>
      <c r="AH69" s="106">
        <f>[29]Departmentals!$H$35</f>
        <v>2500</v>
      </c>
      <c r="AI69" s="106">
        <f>'[30]New 678'!$H$48</f>
        <v>11400</v>
      </c>
      <c r="AJ69" s="17">
        <f>[31]Departmentals!$H$58</f>
        <v>2100</v>
      </c>
      <c r="AK69" s="17">
        <f>[32]Departmentals!$H$37</f>
        <v>2200</v>
      </c>
      <c r="AL69" s="106"/>
      <c r="AM69" s="17">
        <v>0</v>
      </c>
      <c r="AN69" s="106">
        <v>0</v>
      </c>
      <c r="AO69" s="17">
        <v>0</v>
      </c>
      <c r="AP69" s="106">
        <f>'[36]Departmentals 86'!$H$36</f>
        <v>8000</v>
      </c>
      <c r="AQ69" s="106">
        <v>0</v>
      </c>
      <c r="AR69" s="106">
        <f>[38]Departmentals!$H$42</f>
        <v>39000</v>
      </c>
      <c r="AS69" s="106">
        <f>[39]Departmentals!$H$32</f>
        <v>1750</v>
      </c>
      <c r="AT69" s="106">
        <f>[40]Departmentals!$H$29</f>
        <v>200</v>
      </c>
      <c r="AU69" s="106">
        <f>[41]Departmentals!$H$33</f>
        <v>250</v>
      </c>
      <c r="AV69" s="106">
        <f>[42]Departmentals!$H$34</f>
        <v>11695</v>
      </c>
      <c r="AW69" s="17">
        <f>[43]Departmentals!$H$33</f>
        <v>2000</v>
      </c>
      <c r="AX69" s="17">
        <f>[44]Departmentals!$H$32</f>
        <v>3000</v>
      </c>
      <c r="AY69" s="17">
        <v>0</v>
      </c>
      <c r="AZ69" s="106"/>
      <c r="BA69" s="17">
        <v>120000</v>
      </c>
      <c r="BB69" s="17">
        <f t="shared" si="7"/>
        <v>273550</v>
      </c>
      <c r="BC69" s="132" t="s">
        <v>118</v>
      </c>
      <c r="BD69" s="23" t="s">
        <v>118</v>
      </c>
      <c r="BE69" s="134" t="s">
        <v>160</v>
      </c>
      <c r="BF69" s="23"/>
      <c r="BG69" s="23"/>
    </row>
    <row r="70" spans="1:59">
      <c r="B70" s="3">
        <v>87</v>
      </c>
      <c r="C70" s="3" t="s">
        <v>161</v>
      </c>
      <c r="D70" s="88">
        <v>0</v>
      </c>
      <c r="E70" s="17">
        <f>[3]Departmentals!$H$45</f>
        <v>10000</v>
      </c>
      <c r="F70" s="17">
        <f>[4]Departmentals!$H$41</f>
        <v>1000</v>
      </c>
      <c r="G70" s="17"/>
      <c r="H70" s="17">
        <f>[5]Departmentals!$H$38</f>
        <v>400</v>
      </c>
      <c r="I70" s="17"/>
      <c r="J70" s="106">
        <f>[6]Departmentals!$H$30</f>
        <v>3000</v>
      </c>
      <c r="K70" s="17">
        <f>[7]Departmentals!$H$39</f>
        <v>1000</v>
      </c>
      <c r="L70" s="106">
        <f>[8]Departmentals!$H$45</f>
        <v>1000</v>
      </c>
      <c r="M70" s="106">
        <f>[9]Departmentals!$H$45</f>
        <v>2500</v>
      </c>
      <c r="N70" s="106">
        <v>0</v>
      </c>
      <c r="O70" s="106">
        <f>[11]Departmentals!$J$47</f>
        <v>3000</v>
      </c>
      <c r="P70" s="106">
        <f>[12]Departmentals!$H$37</f>
        <v>1500</v>
      </c>
      <c r="Q70" s="106">
        <f>'[13]Dept by SU'!$L$32</f>
        <v>0</v>
      </c>
      <c r="R70" s="106">
        <f>[14]Departmentals!$H$36</f>
        <v>470</v>
      </c>
      <c r="S70" s="17">
        <v>0</v>
      </c>
      <c r="T70" s="106">
        <f>[16]Departmentals!$H$39</f>
        <v>1800</v>
      </c>
      <c r="U70" s="106">
        <v>0</v>
      </c>
      <c r="V70" s="106">
        <v>0</v>
      </c>
      <c r="W70" s="106">
        <v>0</v>
      </c>
      <c r="X70" s="17">
        <v>0</v>
      </c>
      <c r="Y70" s="106">
        <f>[21]Departmentals!$H$43</f>
        <v>400</v>
      </c>
      <c r="Z70" s="106">
        <f>[22]Departmentals!$H$45</f>
        <v>250</v>
      </c>
      <c r="AA70" s="106">
        <f>'[23]Dept by SU'!$H$33</f>
        <v>500</v>
      </c>
      <c r="AB70" s="106">
        <f>[24]Departmentals!$H$32</f>
        <v>6000</v>
      </c>
      <c r="AC70" s="107"/>
      <c r="AD70" s="106">
        <f>[25]Departmentals!$D$37</f>
        <v>3000</v>
      </c>
      <c r="AE70" s="106">
        <v>0</v>
      </c>
      <c r="AF70" s="106">
        <v>0</v>
      </c>
      <c r="AG70" s="106">
        <v>0</v>
      </c>
      <c r="AH70" s="106">
        <f>[29]Departmentals!$H$36</f>
        <v>100</v>
      </c>
      <c r="AI70" s="106">
        <f>'[30]New 678'!$H$49</f>
        <v>800</v>
      </c>
      <c r="AJ70" s="17">
        <f>[31]Departmentals!$H$59</f>
        <v>1000</v>
      </c>
      <c r="AK70" s="17">
        <v>0</v>
      </c>
      <c r="AL70" s="106"/>
      <c r="AM70" s="17">
        <v>0</v>
      </c>
      <c r="AN70" s="106">
        <v>0</v>
      </c>
      <c r="AO70" s="17">
        <v>0</v>
      </c>
      <c r="AP70" s="106">
        <f>'[36]Departmentals 86'!$H$37</f>
        <v>1500</v>
      </c>
      <c r="AQ70" s="106">
        <f>[37]Departmentals!$H$23</f>
        <v>500</v>
      </c>
      <c r="AR70" s="106">
        <f>[38]Departmentals!$H$43</f>
        <v>20000</v>
      </c>
      <c r="AS70" s="106">
        <f>[39]Departmentals!$H$33</f>
        <v>1750</v>
      </c>
      <c r="AT70" s="106">
        <f>[40]Departmentals!$H$30</f>
        <v>450</v>
      </c>
      <c r="AU70" s="106">
        <v>0</v>
      </c>
      <c r="AV70" s="106">
        <f>[42]Departmentals!$H$35</f>
        <v>5420</v>
      </c>
      <c r="AW70" s="17">
        <f>[43]Departmentals!$H$34</f>
        <v>1500</v>
      </c>
      <c r="AX70" s="17">
        <f>[44]Departmentals!$H$33</f>
        <v>1100</v>
      </c>
      <c r="AY70" s="17">
        <v>0</v>
      </c>
      <c r="AZ70" s="106"/>
      <c r="BA70" s="17"/>
      <c r="BB70" s="17">
        <f t="shared" si="7"/>
        <v>69940</v>
      </c>
      <c r="BC70" s="132" t="s">
        <v>118</v>
      </c>
      <c r="BD70" s="23" t="s">
        <v>118</v>
      </c>
      <c r="BE70" s="23"/>
      <c r="BF70" s="23"/>
      <c r="BG70" s="23"/>
    </row>
    <row r="71" spans="1:59">
      <c r="B71" s="3">
        <v>88</v>
      </c>
      <c r="C71" s="3" t="s">
        <v>162</v>
      </c>
      <c r="D71" s="88">
        <v>0</v>
      </c>
      <c r="E71" s="17">
        <v>0</v>
      </c>
      <c r="F71" s="17">
        <v>0</v>
      </c>
      <c r="G71" s="17"/>
      <c r="H71" s="17">
        <f>[5]Departmentals!$H$39</f>
        <v>400</v>
      </c>
      <c r="I71" s="17"/>
      <c r="J71" s="106">
        <v>0</v>
      </c>
      <c r="K71" s="17">
        <f>[7]Departmentals!$H$40</f>
        <v>5600</v>
      </c>
      <c r="L71" s="106">
        <v>0</v>
      </c>
      <c r="M71" s="106">
        <f>[9]Departmentals!$H$46</f>
        <v>10300.06</v>
      </c>
      <c r="N71" s="106">
        <v>0</v>
      </c>
      <c r="O71" s="106">
        <f>[11]Departmentals!$J$48</f>
        <v>129.57</v>
      </c>
      <c r="P71" s="106">
        <f>[12]Departmentals!$H$38</f>
        <v>50</v>
      </c>
      <c r="Q71" s="106">
        <v>0</v>
      </c>
      <c r="R71" s="106">
        <v>0</v>
      </c>
      <c r="S71" s="17">
        <v>0</v>
      </c>
      <c r="T71" s="106">
        <v>0</v>
      </c>
      <c r="U71" s="106">
        <v>0</v>
      </c>
      <c r="V71" s="106">
        <v>0</v>
      </c>
      <c r="W71" s="106">
        <v>0</v>
      </c>
      <c r="X71" s="17">
        <v>0</v>
      </c>
      <c r="Y71" s="106">
        <f>[21]Departmentals!$H$44</f>
        <v>100</v>
      </c>
      <c r="Z71" s="106">
        <f>[22]Departmentals!$H$46</f>
        <v>50</v>
      </c>
      <c r="AA71" s="106">
        <v>0</v>
      </c>
      <c r="AB71" s="106">
        <f>[24]Departmentals!$H$33</f>
        <v>350</v>
      </c>
      <c r="AC71" s="107"/>
      <c r="AD71" s="106">
        <v>0</v>
      </c>
      <c r="AE71" s="106">
        <v>0</v>
      </c>
      <c r="AF71" s="106">
        <v>0</v>
      </c>
      <c r="AG71" s="106">
        <v>0</v>
      </c>
      <c r="AH71" s="106">
        <f>[29]Departmentals!$H$37</f>
        <v>3600</v>
      </c>
      <c r="AI71" s="106">
        <f>'[30]New 678'!$H$50</f>
        <v>500</v>
      </c>
      <c r="AJ71" s="17">
        <f>[31]Departmentals!$H$60</f>
        <v>2500</v>
      </c>
      <c r="AK71" s="17">
        <v>0</v>
      </c>
      <c r="AL71" s="106"/>
      <c r="AM71" s="17">
        <v>0</v>
      </c>
      <c r="AN71" s="106">
        <v>0</v>
      </c>
      <c r="AO71" s="17">
        <v>0</v>
      </c>
      <c r="AP71" s="106">
        <f>'[36]Departmentals 86'!$H$38</f>
        <v>100</v>
      </c>
      <c r="AQ71" s="106">
        <f>[37]Departmentals!$H$24</f>
        <v>200</v>
      </c>
      <c r="AR71" s="106">
        <v>0</v>
      </c>
      <c r="AS71" s="106">
        <f>[39]Departmentals!$H$34</f>
        <v>100</v>
      </c>
      <c r="AT71" s="106">
        <v>0</v>
      </c>
      <c r="AU71" s="106">
        <f>[41]Departmentals!$H$35</f>
        <v>40414.364000000001</v>
      </c>
      <c r="AV71" s="106">
        <f>[42]Departmentals!$H$36</f>
        <v>500</v>
      </c>
      <c r="AW71" s="17">
        <f>[43]Departmentals!$H$35</f>
        <v>10000</v>
      </c>
      <c r="AX71" s="17">
        <v>0</v>
      </c>
      <c r="AY71" s="17">
        <v>0</v>
      </c>
      <c r="AZ71" s="106"/>
      <c r="BA71" s="127">
        <f>'[1]Inflation Matrix'!R20</f>
        <v>3566.3806666666674</v>
      </c>
      <c r="BB71" s="17">
        <f t="shared" si="7"/>
        <v>78460.37466666667</v>
      </c>
      <c r="BC71" s="130" t="s">
        <v>37</v>
      </c>
      <c r="BD71" s="23" t="s">
        <v>37</v>
      </c>
      <c r="BE71" s="23"/>
      <c r="BF71" s="23"/>
      <c r="BG71" s="23"/>
    </row>
    <row r="72" spans="1:59">
      <c r="B72" s="3">
        <v>89</v>
      </c>
      <c r="C72" s="3" t="s">
        <v>163</v>
      </c>
      <c r="D72" s="88">
        <v>0</v>
      </c>
      <c r="E72" s="17">
        <v>0</v>
      </c>
      <c r="F72" s="17">
        <v>0</v>
      </c>
      <c r="G72" s="17"/>
      <c r="H72" s="17">
        <v>0</v>
      </c>
      <c r="I72" s="17"/>
      <c r="J72" s="106">
        <v>0</v>
      </c>
      <c r="K72" s="17">
        <v>0</v>
      </c>
      <c r="L72" s="106">
        <v>0</v>
      </c>
      <c r="M72" s="106">
        <v>0</v>
      </c>
      <c r="N72" s="106">
        <v>0</v>
      </c>
      <c r="O72" s="106">
        <v>0</v>
      </c>
      <c r="P72" s="106">
        <v>0</v>
      </c>
      <c r="Q72" s="106">
        <v>0</v>
      </c>
      <c r="R72" s="106">
        <v>0</v>
      </c>
      <c r="S72" s="17">
        <v>0</v>
      </c>
      <c r="T72" s="106">
        <v>0</v>
      </c>
      <c r="U72" s="106">
        <v>0</v>
      </c>
      <c r="V72" s="106">
        <v>0</v>
      </c>
      <c r="W72" s="106">
        <v>0</v>
      </c>
      <c r="X72" s="17">
        <v>0</v>
      </c>
      <c r="Y72" s="17">
        <v>0</v>
      </c>
      <c r="Z72" s="106">
        <v>0</v>
      </c>
      <c r="AA72" s="106">
        <v>0</v>
      </c>
      <c r="AB72" s="106">
        <v>0</v>
      </c>
      <c r="AC72" s="107"/>
      <c r="AD72" s="106">
        <v>0</v>
      </c>
      <c r="AE72" s="106">
        <v>0</v>
      </c>
      <c r="AF72" s="106">
        <v>0</v>
      </c>
      <c r="AG72" s="106">
        <v>0</v>
      </c>
      <c r="AH72" s="106">
        <v>0</v>
      </c>
      <c r="AI72" s="106">
        <v>0</v>
      </c>
      <c r="AJ72" s="17">
        <f>[31]Departmentals!$H$18</f>
        <v>0</v>
      </c>
      <c r="AK72" s="17">
        <v>0</v>
      </c>
      <c r="AL72" s="106"/>
      <c r="AM72" s="17">
        <v>0</v>
      </c>
      <c r="AN72" s="106">
        <v>0</v>
      </c>
      <c r="AO72" s="17">
        <v>0</v>
      </c>
      <c r="AP72" s="106">
        <v>0</v>
      </c>
      <c r="AQ72" s="106">
        <v>0</v>
      </c>
      <c r="AR72" s="106">
        <v>0</v>
      </c>
      <c r="AS72" s="106">
        <v>0</v>
      </c>
      <c r="AT72" s="106">
        <v>0</v>
      </c>
      <c r="AU72" s="106">
        <v>0</v>
      </c>
      <c r="AV72" s="106">
        <f>[42]Departmentals!$H$37</f>
        <v>56875</v>
      </c>
      <c r="AW72" s="17">
        <v>0</v>
      </c>
      <c r="AX72" s="17">
        <v>0</v>
      </c>
      <c r="AY72" s="17">
        <v>0</v>
      </c>
      <c r="AZ72" s="106"/>
      <c r="BA72" s="17"/>
      <c r="BB72" s="17">
        <f t="shared" si="7"/>
        <v>56875</v>
      </c>
      <c r="BC72" s="132" t="s">
        <v>118</v>
      </c>
      <c r="BD72" s="23" t="s">
        <v>118</v>
      </c>
      <c r="BE72" s="23"/>
      <c r="BF72" s="23"/>
      <c r="BG72" s="23"/>
    </row>
    <row r="73" spans="1:59">
      <c r="B73" s="3">
        <v>97</v>
      </c>
      <c r="C73" s="3" t="s">
        <v>41</v>
      </c>
      <c r="D73" s="88">
        <v>0</v>
      </c>
      <c r="E73" s="17"/>
      <c r="F73" s="17"/>
      <c r="G73" s="17"/>
      <c r="H73" s="17"/>
      <c r="I73" s="17"/>
      <c r="J73" s="106">
        <v>0</v>
      </c>
      <c r="K73" s="17"/>
      <c r="L73" s="106">
        <v>0</v>
      </c>
      <c r="M73" s="17"/>
      <c r="N73" s="17"/>
      <c r="O73" s="106">
        <v>0</v>
      </c>
      <c r="P73" s="106">
        <v>0</v>
      </c>
      <c r="Q73" s="106">
        <v>0</v>
      </c>
      <c r="R73" s="17"/>
      <c r="S73" s="17"/>
      <c r="T73" s="17"/>
      <c r="U73" s="17"/>
      <c r="V73" s="106">
        <v>0</v>
      </c>
      <c r="W73" s="17"/>
      <c r="X73" s="17"/>
      <c r="Y73" s="17"/>
      <c r="Z73" s="106">
        <v>0</v>
      </c>
      <c r="AA73" s="106">
        <v>0</v>
      </c>
      <c r="AB73" s="106">
        <v>0</v>
      </c>
      <c r="AC73" s="107"/>
      <c r="AD73" s="106">
        <v>0</v>
      </c>
      <c r="AE73" s="17"/>
      <c r="AF73" s="17"/>
      <c r="AG73" s="17"/>
      <c r="AH73" s="17"/>
      <c r="AI73" s="106">
        <v>0</v>
      </c>
      <c r="AJ73" s="17"/>
      <c r="AK73" s="17">
        <v>0</v>
      </c>
      <c r="AL73" s="106"/>
      <c r="AM73" s="17"/>
      <c r="AN73" s="106">
        <v>0</v>
      </c>
      <c r="AO73" s="17"/>
      <c r="AP73" s="106">
        <v>0</v>
      </c>
      <c r="AQ73" s="106">
        <v>0</v>
      </c>
      <c r="AR73" s="106">
        <v>0</v>
      </c>
      <c r="AS73" s="106">
        <v>0</v>
      </c>
      <c r="AT73" s="106">
        <v>0</v>
      </c>
      <c r="AU73" s="106">
        <v>0</v>
      </c>
      <c r="AV73" s="106">
        <v>0</v>
      </c>
      <c r="AW73" s="17">
        <v>0</v>
      </c>
      <c r="AX73" s="17">
        <v>0</v>
      </c>
      <c r="AY73" s="17"/>
      <c r="AZ73" s="106"/>
      <c r="BA73" s="17">
        <f>'[1]Debt Repayment Schedule - Int.'!F33</f>
        <v>276920.31855629222</v>
      </c>
      <c r="BB73" s="17">
        <f t="shared" si="7"/>
        <v>276920.31855629222</v>
      </c>
      <c r="BC73" s="134" t="s">
        <v>41</v>
      </c>
      <c r="BD73" s="23" t="s">
        <v>118</v>
      </c>
      <c r="BE73" s="23">
        <f>SUM(BB30:BB73)</f>
        <v>6885033.4440929573</v>
      </c>
      <c r="BF73" s="23"/>
      <c r="BG73" s="23"/>
    </row>
    <row r="74" spans="1:59" ht="6.75" customHeight="1">
      <c r="B74" s="102"/>
      <c r="D74" s="88"/>
      <c r="E74" s="17"/>
      <c r="F74" s="17"/>
      <c r="G74" s="17"/>
      <c r="H74" s="17"/>
      <c r="I74" s="17"/>
      <c r="J74" s="106"/>
      <c r="K74" s="17"/>
      <c r="L74" s="106"/>
      <c r="M74" s="17"/>
      <c r="N74" s="17"/>
      <c r="O74" s="106"/>
      <c r="P74" s="106"/>
      <c r="Q74" s="106"/>
      <c r="R74" s="17"/>
      <c r="S74" s="17"/>
      <c r="T74" s="17"/>
      <c r="U74" s="17"/>
      <c r="V74" s="106"/>
      <c r="W74" s="17"/>
      <c r="X74" s="17"/>
      <c r="Y74" s="17"/>
      <c r="Z74" s="106"/>
      <c r="AA74" s="106"/>
      <c r="AB74" s="106"/>
      <c r="AC74" s="107"/>
      <c r="AD74" s="106"/>
      <c r="AE74" s="17"/>
      <c r="AF74" s="17"/>
      <c r="AG74" s="17"/>
      <c r="AH74" s="17"/>
      <c r="AI74" s="106"/>
      <c r="AJ74" s="17"/>
      <c r="AK74" s="17"/>
      <c r="AL74" s="106"/>
      <c r="AM74" s="17"/>
      <c r="AN74" s="106"/>
      <c r="AO74" s="17"/>
      <c r="AP74" s="106"/>
      <c r="AQ74" s="106"/>
      <c r="AR74" s="106"/>
      <c r="AS74" s="106"/>
      <c r="AT74" s="106"/>
      <c r="AU74" s="106">
        <v>0</v>
      </c>
      <c r="AV74" s="106"/>
      <c r="AW74" s="17"/>
      <c r="AX74" s="17"/>
      <c r="AY74" s="17"/>
      <c r="AZ74" s="106"/>
      <c r="BA74" s="17"/>
      <c r="BB74" s="17"/>
      <c r="BC74" s="23"/>
      <c r="BD74" s="23"/>
      <c r="BE74" s="23"/>
      <c r="BF74" s="23"/>
      <c r="BG74" s="23"/>
    </row>
    <row r="75" spans="1:59" ht="3.75" customHeight="1">
      <c r="D75" s="88"/>
      <c r="E75" s="17"/>
      <c r="F75" s="17"/>
      <c r="G75" s="17"/>
      <c r="H75" s="17"/>
      <c r="I75" s="17"/>
      <c r="J75" s="17"/>
      <c r="K75" s="17"/>
      <c r="L75" s="106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07"/>
      <c r="AD75" s="17"/>
      <c r="AE75" s="17"/>
      <c r="AF75" s="17"/>
      <c r="AG75" s="17"/>
      <c r="AH75" s="17"/>
      <c r="AI75" s="106"/>
      <c r="AJ75" s="17"/>
      <c r="AK75" s="17"/>
      <c r="AL75" s="106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>
        <v>0</v>
      </c>
      <c r="AY75" s="17"/>
      <c r="AZ75" s="106"/>
      <c r="BA75" s="17"/>
      <c r="BB75" s="17"/>
      <c r="BC75" s="23"/>
      <c r="BD75" s="23"/>
      <c r="BE75" s="23"/>
      <c r="BF75" s="23"/>
      <c r="BG75" s="23"/>
    </row>
    <row r="76" spans="1:59" s="49" customFormat="1">
      <c r="B76" s="49" t="s">
        <v>164</v>
      </c>
      <c r="D76" s="97">
        <f>SUM(D27:D73)</f>
        <v>26563.752517584238</v>
      </c>
      <c r="E76" s="109">
        <f t="shared" ref="E76:BA76" si="8">SUM(E27:E72)</f>
        <v>1884865.7820084286</v>
      </c>
      <c r="F76" s="109">
        <f t="shared" si="8"/>
        <v>728102.67497221311</v>
      </c>
      <c r="G76" s="109">
        <f t="shared" si="8"/>
        <v>0</v>
      </c>
      <c r="H76" s="109">
        <f t="shared" si="8"/>
        <v>425140.5424475015</v>
      </c>
      <c r="I76" s="109">
        <f t="shared" si="8"/>
        <v>0</v>
      </c>
      <c r="J76" s="109">
        <f t="shared" si="8"/>
        <v>656819.93595800409</v>
      </c>
      <c r="K76" s="109">
        <f t="shared" si="8"/>
        <v>1267337.0774931314</v>
      </c>
      <c r="L76" s="110">
        <f t="shared" si="8"/>
        <v>586279.92890517064</v>
      </c>
      <c r="M76" s="109">
        <f t="shared" si="8"/>
        <v>1469259.8815095264</v>
      </c>
      <c r="N76" s="109">
        <f t="shared" si="8"/>
        <v>31777.996295834011</v>
      </c>
      <c r="O76" s="109">
        <f t="shared" si="8"/>
        <v>1338978.7125608034</v>
      </c>
      <c r="P76" s="109">
        <f t="shared" si="8"/>
        <v>672012.56790264091</v>
      </c>
      <c r="Q76" s="109">
        <f t="shared" si="8"/>
        <v>92109.999842764708</v>
      </c>
      <c r="R76" s="109">
        <f t="shared" si="8"/>
        <v>210904.67575197844</v>
      </c>
      <c r="S76" s="109">
        <f t="shared" si="8"/>
        <v>5165.5849314877923</v>
      </c>
      <c r="T76" s="109">
        <f t="shared" si="8"/>
        <v>477612.67195342621</v>
      </c>
      <c r="U76" s="109">
        <f t="shared" si="8"/>
        <v>1224198.651418078</v>
      </c>
      <c r="V76" s="109">
        <f t="shared" si="8"/>
        <v>1118565.3139763756</v>
      </c>
      <c r="W76" s="109">
        <f t="shared" si="8"/>
        <v>31394.070449825602</v>
      </c>
      <c r="X76" s="109">
        <f t="shared" si="8"/>
        <v>25000</v>
      </c>
      <c r="Y76" s="109">
        <f t="shared" si="8"/>
        <v>342475.47734680539</v>
      </c>
      <c r="Z76" s="109">
        <f t="shared" si="8"/>
        <v>579549.90440438292</v>
      </c>
      <c r="AA76" s="109">
        <f t="shared" si="8"/>
        <v>55460.499913520587</v>
      </c>
      <c r="AB76" s="109">
        <f t="shared" si="8"/>
        <v>285000.76549401943</v>
      </c>
      <c r="AC76" s="113">
        <f t="shared" si="8"/>
        <v>70553.144441804136</v>
      </c>
      <c r="AD76" s="109">
        <f t="shared" si="8"/>
        <v>129121.81246648156</v>
      </c>
      <c r="AE76" s="109">
        <f t="shared" si="8"/>
        <v>4700</v>
      </c>
      <c r="AF76" s="109">
        <f t="shared" si="8"/>
        <v>9700</v>
      </c>
      <c r="AG76" s="109">
        <f t="shared" si="8"/>
        <v>1700</v>
      </c>
      <c r="AH76" s="109">
        <f t="shared" si="8"/>
        <v>477538.42817154829</v>
      </c>
      <c r="AI76" s="110">
        <f>SUM(AI27:AI72)</f>
        <v>1170971.6422225533</v>
      </c>
      <c r="AJ76" s="109">
        <f t="shared" si="8"/>
        <v>937850.06726369145</v>
      </c>
      <c r="AK76" s="109">
        <f t="shared" si="8"/>
        <v>656362.23839444434</v>
      </c>
      <c r="AL76" s="110">
        <f t="shared" si="8"/>
        <v>67552.884539790728</v>
      </c>
      <c r="AM76" s="109">
        <f t="shared" si="8"/>
        <v>121988.27357747511</v>
      </c>
      <c r="AN76" s="109">
        <f t="shared" si="8"/>
        <v>369882.53145641641</v>
      </c>
      <c r="AO76" s="109">
        <f t="shared" si="8"/>
        <v>188800</v>
      </c>
      <c r="AP76" s="109">
        <f t="shared" si="8"/>
        <v>591663.40326789336</v>
      </c>
      <c r="AQ76" s="109">
        <f>SUM(AQ27:AQ72)</f>
        <v>170235.54133712768</v>
      </c>
      <c r="AR76" s="109">
        <f>SUM(AR27:AR72)</f>
        <v>1156106.3072387443</v>
      </c>
      <c r="AS76" s="109">
        <f t="shared" si="8"/>
        <v>306365.93828361301</v>
      </c>
      <c r="AT76" s="109">
        <f t="shared" si="8"/>
        <v>217949.89752874809</v>
      </c>
      <c r="AU76" s="109">
        <f t="shared" si="8"/>
        <v>523944.64886839659</v>
      </c>
      <c r="AV76" s="109">
        <f t="shared" si="8"/>
        <v>445771.77644883108</v>
      </c>
      <c r="AW76" s="109">
        <f>SUM(AW27:AW72)</f>
        <v>353706.10092238366</v>
      </c>
      <c r="AX76" s="109">
        <f t="shared" si="8"/>
        <v>360692.31586519827</v>
      </c>
      <c r="AY76" s="109">
        <f t="shared" si="8"/>
        <v>0</v>
      </c>
      <c r="AZ76" s="110">
        <f t="shared" si="8"/>
        <v>97000</v>
      </c>
      <c r="BA76" s="109">
        <f t="shared" si="8"/>
        <v>3180156.6203462044</v>
      </c>
      <c r="BB76" s="109">
        <f>SUM(BB27:BB73)</f>
        <v>25400010.359251145</v>
      </c>
      <c r="BC76" s="73"/>
      <c r="BD76" s="73"/>
      <c r="BE76" s="73"/>
      <c r="BF76" s="73"/>
      <c r="BG76" s="73"/>
    </row>
    <row r="77" spans="1:59" ht="3" customHeight="1">
      <c r="D77" s="3" t="b">
        <f>[2]Departmentals!$H$33=D76</f>
        <v>1</v>
      </c>
      <c r="E77" s="23" t="b">
        <f>E76=[3]Departmentals!$H$48</f>
        <v>1</v>
      </c>
      <c r="F77" s="23" t="b">
        <f>F76=[4]Departmentals!$H$44</f>
        <v>1</v>
      </c>
      <c r="G77" s="23"/>
      <c r="H77" s="23" t="b">
        <f>H76=[5]Departmentals!$H$41</f>
        <v>1</v>
      </c>
      <c r="I77" s="23"/>
      <c r="J77" s="23" t="b">
        <f>J76=[6]Departmentals!$H$33</f>
        <v>1</v>
      </c>
      <c r="K77" s="23" t="b">
        <f>K76=[7]Departmentals!$H$43</f>
        <v>1</v>
      </c>
      <c r="L77" s="103" t="b">
        <f>L76=[8]Departmentals!$H$47</f>
        <v>1</v>
      </c>
      <c r="M77" s="23" t="b">
        <f>M76=[9]Departmentals!$H$48</f>
        <v>1</v>
      </c>
      <c r="N77" s="23" t="b">
        <f>N76=[10]Departmentals!$H$22</f>
        <v>1</v>
      </c>
      <c r="O77" s="23" t="b">
        <f>O76=[11]Departmentals!$J$50</f>
        <v>1</v>
      </c>
      <c r="P77" s="23" t="b">
        <f>P76=[12]Departmentals!$H$40</f>
        <v>1</v>
      </c>
      <c r="Q77" s="23" t="b">
        <f>Q76='[13]Dept by SU'!$L$34</f>
        <v>1</v>
      </c>
      <c r="R77" s="23" t="b">
        <f>R76=[14]Departmentals!$H$38</f>
        <v>1</v>
      </c>
      <c r="S77" s="23" t="b">
        <f>S76=[15]Departmentals!$H$26</f>
        <v>1</v>
      </c>
      <c r="T77" s="23" t="b">
        <f>T76=[16]Departmentals!$H$42</f>
        <v>1</v>
      </c>
      <c r="U77" s="23" t="b">
        <f>U76=[17]Departmentals!$H$26</f>
        <v>1</v>
      </c>
      <c r="V77" s="23" t="b">
        <f>V76=[18]Departmentals!$H$45</f>
        <v>1</v>
      </c>
      <c r="W77" s="23" t="b">
        <f>W76=[19]Departmentals!$H$39</f>
        <v>1</v>
      </c>
      <c r="X77" s="23" t="b">
        <f>X76=[20]Departmentals!$H$37</f>
        <v>1</v>
      </c>
      <c r="Y77" s="23" t="b">
        <f>Y76=[21]Departmentals!$H$46</f>
        <v>1</v>
      </c>
      <c r="Z77" s="23" t="b">
        <f>Z76=[22]Departmentals!$H$48</f>
        <v>1</v>
      </c>
      <c r="AA77" s="23" t="b">
        <f>AA76='[23]Dept by SU'!$H$37</f>
        <v>1</v>
      </c>
      <c r="AB77" s="23" t="b">
        <f>AB76=[24]Departmentals!$H$35</f>
        <v>1</v>
      </c>
      <c r="AC77" s="104"/>
      <c r="AD77" s="23" t="b">
        <f>AD76=[25]Departmentals!$D$40</f>
        <v>1</v>
      </c>
      <c r="AE77" s="23" t="b">
        <f>AE76=[26]Departmentals!$H$33</f>
        <v>1</v>
      </c>
      <c r="AF77" s="23" t="b">
        <f>AF76=[27]Departmentals!$H$25</f>
        <v>1</v>
      </c>
      <c r="AG77" s="23" t="b">
        <f>AG76=[28]Departmentals!$H$28</f>
        <v>1</v>
      </c>
      <c r="AH77" s="23" t="b">
        <f>AH76=[29]Departmentals!$H$39</f>
        <v>1</v>
      </c>
      <c r="AI77" s="103" t="b">
        <f>AI76='[30]New 678'!$H$52</f>
        <v>1</v>
      </c>
      <c r="AJ77" s="23" t="b">
        <f>AJ76=[31]Departmentals!$H$62</f>
        <v>1</v>
      </c>
      <c r="AK77" s="23" t="b">
        <f>AK76=[32]Departmentals!$H$41</f>
        <v>1</v>
      </c>
      <c r="AL77" s="103" t="b">
        <f>AL76=[46]Departmentals!$D$39</f>
        <v>1</v>
      </c>
      <c r="AM77" s="23" t="b">
        <f>AM76=[33]Departmentals!$H$30</f>
        <v>1</v>
      </c>
      <c r="AN77" s="23" t="b">
        <f>AN76=[34]Departmentals!$H$35</f>
        <v>1</v>
      </c>
      <c r="AO77" s="23" t="b">
        <f>AO76=[35]Departmentals!$H$29</f>
        <v>1</v>
      </c>
      <c r="AP77" s="23" t="b">
        <f>AP76='[36]Departmentals 86'!$H$40</f>
        <v>1</v>
      </c>
      <c r="AQ77" s="23" t="b">
        <f>AQ76=[37]Departmentals!$H$26</f>
        <v>1</v>
      </c>
      <c r="AR77" s="23" t="b">
        <f>AR76=[38]Departmentals!$H$46</f>
        <v>1</v>
      </c>
      <c r="AS77" s="23" t="b">
        <f>AS76=[39]Departmentals!$H$36</f>
        <v>1</v>
      </c>
      <c r="AT77" s="23" t="b">
        <f>AT76=[40]Departmentals!$H$33</f>
        <v>1</v>
      </c>
      <c r="AU77" s="23" t="b">
        <f>AU76=[41]Departmentals!$H$37</f>
        <v>1</v>
      </c>
      <c r="AV77" s="23" t="b">
        <v>1</v>
      </c>
      <c r="AW77" s="23" t="b">
        <f>AW76=[43]Departmentals!$H$37</f>
        <v>1</v>
      </c>
      <c r="AX77" s="23" t="b">
        <f>AX76=[44]Departmentals!$H$36</f>
        <v>1</v>
      </c>
      <c r="AY77" s="23" t="b">
        <f>AY76=[45]Departmentals!$H$35</f>
        <v>1</v>
      </c>
      <c r="AZ77" s="103" t="b">
        <f>AZ76=[47]Departmentals!$D$39</f>
        <v>1</v>
      </c>
      <c r="BA77" s="23"/>
      <c r="BB77" s="17" t="b">
        <f>'[1]Income Statement - Summary'!K37='Department Detail'!BB76</f>
        <v>1</v>
      </c>
      <c r="BC77" s="23"/>
      <c r="BD77" s="23"/>
      <c r="BE77" s="23"/>
      <c r="BF77" s="23"/>
      <c r="BG77" s="23"/>
    </row>
    <row r="78" spans="1:59" ht="5.25" customHeight="1">
      <c r="E78" s="23"/>
      <c r="F78" s="23"/>
      <c r="G78" s="23"/>
      <c r="H78" s="23"/>
      <c r="I78" s="23"/>
      <c r="J78" s="23"/>
      <c r="K78" s="23"/>
      <c r="L78" s="10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104"/>
      <c r="AD78" s="23"/>
      <c r="AE78" s="23"/>
      <c r="AF78" s="23"/>
      <c r="AG78" s="23"/>
      <c r="AH78" s="23"/>
      <c r="AI78" s="103"/>
      <c r="AJ78" s="23"/>
      <c r="AK78" s="23"/>
      <c r="AL78" s="103"/>
      <c r="AM78" s="23"/>
      <c r="AN78" s="23"/>
      <c r="AO78" s="23">
        <f>AL76+AZ76</f>
        <v>164552.88453979074</v>
      </c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135">
        <f>AZ76+AL76</f>
        <v>164552.88453979074</v>
      </c>
      <c r="BA78" s="116" t="s">
        <v>165</v>
      </c>
      <c r="BB78" s="17"/>
      <c r="BC78" s="23"/>
      <c r="BD78" s="23"/>
      <c r="BE78" s="23"/>
      <c r="BF78" s="23"/>
      <c r="BG78" s="23"/>
    </row>
    <row r="79" spans="1:59">
      <c r="A79" s="49" t="s">
        <v>45</v>
      </c>
      <c r="E79" s="23"/>
      <c r="F79" s="23"/>
      <c r="G79" s="23"/>
      <c r="H79" s="23"/>
      <c r="I79" s="23"/>
      <c r="J79" s="23"/>
      <c r="K79" s="23"/>
      <c r="L79" s="10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104"/>
      <c r="AD79" s="23"/>
      <c r="AE79" s="23"/>
      <c r="AF79" s="23"/>
      <c r="AG79" s="23"/>
      <c r="AH79" s="23"/>
      <c r="AI79" s="103"/>
      <c r="AJ79" s="23"/>
      <c r="AK79" s="23"/>
      <c r="AL79" s="10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103"/>
      <c r="BA79" s="23"/>
      <c r="BB79" s="17"/>
      <c r="BC79" s="23"/>
      <c r="BD79" s="23"/>
      <c r="BE79" s="23"/>
      <c r="BF79" s="23"/>
      <c r="BG79" s="23"/>
    </row>
    <row r="80" spans="1:59">
      <c r="C80" s="85" t="s">
        <v>46</v>
      </c>
      <c r="D80" s="88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06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0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06">
        <v>0</v>
      </c>
      <c r="AJ80" s="17">
        <v>0</v>
      </c>
      <c r="AK80" s="17">
        <v>0</v>
      </c>
      <c r="AL80" s="106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0</v>
      </c>
      <c r="AR80" s="17">
        <v>0</v>
      </c>
      <c r="AS80" s="17">
        <v>0</v>
      </c>
      <c r="AT80" s="17">
        <v>0</v>
      </c>
      <c r="AU80" s="17">
        <v>0</v>
      </c>
      <c r="AV80" s="17">
        <v>0</v>
      </c>
      <c r="AW80" s="17">
        <v>0</v>
      </c>
      <c r="AX80" s="17">
        <v>0</v>
      </c>
      <c r="AY80" s="17">
        <v>0</v>
      </c>
      <c r="AZ80" s="106">
        <v>0</v>
      </c>
      <c r="BA80" s="17">
        <v>130000</v>
      </c>
      <c r="BB80" s="17">
        <f>SUM(D80:BA80)</f>
        <v>130000</v>
      </c>
      <c r="BC80" s="23"/>
      <c r="BD80" s="23"/>
      <c r="BE80" s="23"/>
      <c r="BF80" s="23"/>
      <c r="BG80" s="23"/>
    </row>
    <row r="81" spans="1:59">
      <c r="C81" s="85" t="s">
        <v>47</v>
      </c>
      <c r="D81" s="88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06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0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06">
        <v>0</v>
      </c>
      <c r="AJ81" s="17">
        <v>0</v>
      </c>
      <c r="AK81" s="17">
        <v>0</v>
      </c>
      <c r="AL81" s="106">
        <v>0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  <c r="AR81" s="17">
        <v>0</v>
      </c>
      <c r="AS81" s="17">
        <v>0</v>
      </c>
      <c r="AT81" s="17">
        <v>0</v>
      </c>
      <c r="AU81" s="17">
        <v>0</v>
      </c>
      <c r="AV81" s="17">
        <v>0</v>
      </c>
      <c r="AW81" s="17">
        <v>0</v>
      </c>
      <c r="AX81" s="17">
        <v>0</v>
      </c>
      <c r="AY81" s="17">
        <v>0</v>
      </c>
      <c r="AZ81" s="106">
        <v>0</v>
      </c>
      <c r="BA81" s="17">
        <v>280000</v>
      </c>
      <c r="BB81" s="17">
        <f>SUM(D81:BA81)</f>
        <v>280000</v>
      </c>
      <c r="BC81" s="23"/>
      <c r="BD81" s="23"/>
      <c r="BE81" s="23"/>
      <c r="BF81" s="23"/>
      <c r="BG81" s="23"/>
    </row>
    <row r="82" spans="1:59">
      <c r="C82" s="85" t="s">
        <v>48</v>
      </c>
      <c r="D82" s="88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06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0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06">
        <v>0</v>
      </c>
      <c r="AJ82" s="17">
        <v>0</v>
      </c>
      <c r="AK82" s="17">
        <v>0</v>
      </c>
      <c r="AL82" s="106">
        <v>0</v>
      </c>
      <c r="AM82" s="17">
        <v>0</v>
      </c>
      <c r="AN82" s="17">
        <v>0</v>
      </c>
      <c r="AO82" s="17">
        <v>0</v>
      </c>
      <c r="AP82" s="17">
        <v>0</v>
      </c>
      <c r="AQ82" s="17">
        <v>0</v>
      </c>
      <c r="AR82" s="17">
        <v>0</v>
      </c>
      <c r="AS82" s="17">
        <v>0</v>
      </c>
      <c r="AT82" s="17">
        <v>0</v>
      </c>
      <c r="AU82" s="17">
        <v>0</v>
      </c>
      <c r="AV82" s="17">
        <v>0</v>
      </c>
      <c r="AW82" s="17">
        <v>0</v>
      </c>
      <c r="AX82" s="17">
        <v>0</v>
      </c>
      <c r="AY82" s="17">
        <v>0</v>
      </c>
      <c r="AZ82" s="106">
        <v>0</v>
      </c>
      <c r="BA82" s="108">
        <v>200000</v>
      </c>
      <c r="BB82" s="17">
        <f>SUM(D82:BA82)</f>
        <v>200000</v>
      </c>
      <c r="BC82" s="23"/>
      <c r="BD82" s="23"/>
      <c r="BE82" s="23"/>
      <c r="BF82" s="23"/>
      <c r="BG82" s="23"/>
    </row>
    <row r="83" spans="1:59" ht="5.25" customHeight="1">
      <c r="E83" s="23"/>
      <c r="F83" s="23"/>
      <c r="G83" s="23"/>
      <c r="H83" s="23"/>
      <c r="I83" s="23"/>
      <c r="J83" s="23"/>
      <c r="K83" s="23"/>
      <c r="L83" s="10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104"/>
      <c r="AD83" s="23"/>
      <c r="AE83" s="23"/>
      <c r="AF83" s="23"/>
      <c r="AG83" s="23"/>
      <c r="AH83" s="23"/>
      <c r="AI83" s="103"/>
      <c r="AJ83" s="23"/>
      <c r="AK83" s="23"/>
      <c r="AL83" s="10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103"/>
      <c r="BA83" s="23"/>
      <c r="BB83" s="17"/>
      <c r="BC83" s="23"/>
      <c r="BD83" s="23"/>
      <c r="BE83" s="23"/>
      <c r="BF83" s="23"/>
      <c r="BG83" s="23"/>
    </row>
    <row r="84" spans="1:59">
      <c r="A84" s="49" t="s">
        <v>166</v>
      </c>
      <c r="D84" s="88">
        <f>SUM(D24-D76)+SUM(D80:D82)</f>
        <v>157836.24748241575</v>
      </c>
      <c r="E84" s="17">
        <f t="shared" ref="E84:BA84" si="9">SUM(E24-E76)+SUM(E80:E82)</f>
        <v>2613981.9981765966</v>
      </c>
      <c r="F84" s="17">
        <f t="shared" si="9"/>
        <v>788431.40050179791</v>
      </c>
      <c r="G84" s="17">
        <f t="shared" si="9"/>
        <v>230263.56013043568</v>
      </c>
      <c r="H84" s="17">
        <f>SUM(H24-H76)+SUM(H80:H82)</f>
        <v>548768.22256086417</v>
      </c>
      <c r="I84" s="17">
        <f t="shared" si="9"/>
        <v>294025</v>
      </c>
      <c r="J84" s="17">
        <f t="shared" si="9"/>
        <v>-656819.93595800409</v>
      </c>
      <c r="K84" s="17">
        <f t="shared" si="9"/>
        <v>3077800.7284502238</v>
      </c>
      <c r="L84" s="106">
        <f t="shared" si="9"/>
        <v>558593.05070889718</v>
      </c>
      <c r="M84" s="17">
        <f t="shared" si="9"/>
        <v>3479027.1956694387</v>
      </c>
      <c r="N84" s="17">
        <f t="shared" si="9"/>
        <v>316068.04870854045</v>
      </c>
      <c r="O84" s="17">
        <f t="shared" si="9"/>
        <v>3130258.2247022605</v>
      </c>
      <c r="P84" s="17">
        <f t="shared" si="9"/>
        <v>1472477.9540072773</v>
      </c>
      <c r="Q84" s="17">
        <f t="shared" si="9"/>
        <v>81059.958140428542</v>
      </c>
      <c r="R84" s="17">
        <f t="shared" si="9"/>
        <v>389191.80385359749</v>
      </c>
      <c r="S84" s="17">
        <f t="shared" si="9"/>
        <v>52960.77870487584</v>
      </c>
      <c r="T84" s="17">
        <f t="shared" si="9"/>
        <v>556355.32804657379</v>
      </c>
      <c r="U84" s="17">
        <f t="shared" si="9"/>
        <v>1647984.1081311565</v>
      </c>
      <c r="V84" s="17">
        <f t="shared" si="9"/>
        <v>2551809.4653109154</v>
      </c>
      <c r="W84" s="17">
        <f t="shared" si="9"/>
        <v>-31394.070449825602</v>
      </c>
      <c r="X84" s="17">
        <f t="shared" si="9"/>
        <v>-25000</v>
      </c>
      <c r="Y84" s="17">
        <f t="shared" si="9"/>
        <v>158921.49538576527</v>
      </c>
      <c r="Z84" s="17">
        <f t="shared" si="9"/>
        <v>226171.82321695401</v>
      </c>
      <c r="AA84" s="17">
        <f t="shared" si="9"/>
        <v>-55460.499913520587</v>
      </c>
      <c r="AB84" s="17">
        <f t="shared" si="9"/>
        <v>-285000.76549401943</v>
      </c>
      <c r="AC84" s="107">
        <f t="shared" si="9"/>
        <v>-70553.144441804136</v>
      </c>
      <c r="AD84" s="17">
        <f t="shared" si="9"/>
        <v>-129121.81246648156</v>
      </c>
      <c r="AE84" s="17">
        <f t="shared" si="9"/>
        <v>-4700</v>
      </c>
      <c r="AF84" s="17">
        <f t="shared" si="9"/>
        <v>-9700</v>
      </c>
      <c r="AG84" s="17">
        <f t="shared" si="9"/>
        <v>-1700</v>
      </c>
      <c r="AH84" s="17">
        <f t="shared" si="9"/>
        <v>-477538.42817154829</v>
      </c>
      <c r="AI84" s="106">
        <f>SUM(AI24-AI76)+SUM(AI80:AI82)</f>
        <v>358592.35777744674</v>
      </c>
      <c r="AJ84" s="17">
        <f>SUM(AJ24-AJ76)+SUM(AJ80:AJ82)</f>
        <v>235565.84284456912</v>
      </c>
      <c r="AK84" s="17">
        <f t="shared" si="9"/>
        <v>-656362.23839444434</v>
      </c>
      <c r="AL84" s="106">
        <f t="shared" si="9"/>
        <v>-67552.884539790728</v>
      </c>
      <c r="AM84" s="17">
        <f t="shared" si="9"/>
        <v>-121988.27357747511</v>
      </c>
      <c r="AN84" s="17">
        <f t="shared" si="9"/>
        <v>-369882.53145641641</v>
      </c>
      <c r="AO84" s="17">
        <f t="shared" si="9"/>
        <v>-188800</v>
      </c>
      <c r="AP84" s="17">
        <f t="shared" si="9"/>
        <v>-591663.40326789336</v>
      </c>
      <c r="AQ84" s="17">
        <f t="shared" si="9"/>
        <v>-170235.54133712768</v>
      </c>
      <c r="AR84" s="17">
        <f t="shared" si="9"/>
        <v>-1156106.3072387443</v>
      </c>
      <c r="AS84" s="17">
        <f t="shared" si="9"/>
        <v>-306365.93828361301</v>
      </c>
      <c r="AT84" s="17">
        <f t="shared" si="9"/>
        <v>-217949.89752874809</v>
      </c>
      <c r="AU84" s="17">
        <f t="shared" si="9"/>
        <v>-523944.64886839659</v>
      </c>
      <c r="AV84" s="17">
        <f t="shared" si="9"/>
        <v>-445771.77644883108</v>
      </c>
      <c r="AW84" s="17">
        <f t="shared" si="9"/>
        <v>-353706.10092238366</v>
      </c>
      <c r="AX84" s="17">
        <f t="shared" si="9"/>
        <v>-360692.31586519827</v>
      </c>
      <c r="AY84" s="17">
        <f t="shared" si="9"/>
        <v>0</v>
      </c>
      <c r="AZ84" s="106">
        <f t="shared" si="9"/>
        <v>-97000</v>
      </c>
      <c r="BA84" s="17">
        <f t="shared" si="9"/>
        <v>-2570156.6203462044</v>
      </c>
      <c r="BB84" s="17">
        <f>SUM(BB24-BB76)+SUM(BB80:BB82)</f>
        <v>1130627.1389842667</v>
      </c>
      <c r="BC84" s="23"/>
      <c r="BD84" s="23"/>
      <c r="BE84" s="23"/>
      <c r="BF84" s="23"/>
      <c r="BG84" s="23"/>
    </row>
    <row r="85" spans="1:59">
      <c r="E85" s="23"/>
      <c r="F85" s="23"/>
      <c r="G85" s="23"/>
      <c r="H85" s="23"/>
      <c r="I85" s="23"/>
      <c r="J85" s="23"/>
      <c r="K85" s="23"/>
      <c r="L85" s="10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104"/>
      <c r="AD85" s="23"/>
      <c r="AE85" s="23"/>
      <c r="AF85" s="23"/>
      <c r="AG85" s="23"/>
      <c r="AH85" s="23"/>
      <c r="AI85" s="103"/>
      <c r="AJ85" s="23"/>
      <c r="AK85" s="23"/>
      <c r="AL85" s="10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103"/>
      <c r="BA85" s="23"/>
      <c r="BB85" s="109" t="b">
        <f>BB84='[1]Income Statement - Summary'!K46</f>
        <v>1</v>
      </c>
      <c r="BC85" s="23"/>
      <c r="BD85" s="23"/>
      <c r="BE85" s="23"/>
      <c r="BF85" s="23"/>
      <c r="BG85" s="23"/>
    </row>
    <row r="86" spans="1:59">
      <c r="E86" s="23"/>
      <c r="F86" s="23"/>
      <c r="G86" s="23"/>
      <c r="H86" s="23"/>
      <c r="I86" s="23"/>
      <c r="J86" s="23"/>
      <c r="K86" s="23"/>
      <c r="L86" s="10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104"/>
      <c r="AD86" s="23"/>
      <c r="AE86" s="23"/>
      <c r="AF86" s="23"/>
      <c r="AG86" s="23"/>
      <c r="AH86" s="115"/>
      <c r="AI86" s="103">
        <f>AH84-AJ86</f>
        <v>-217062.92189615834</v>
      </c>
      <c r="AJ86" s="23">
        <f>AH84*(6/11)</f>
        <v>-260475.50627538995</v>
      </c>
      <c r="AK86" s="23"/>
      <c r="AL86" s="10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103"/>
      <c r="BA86" s="23"/>
      <c r="BB86" s="17"/>
      <c r="BC86" s="23"/>
      <c r="BD86" s="23"/>
      <c r="BE86" s="23"/>
      <c r="BF86" s="23"/>
      <c r="BG86" s="23"/>
    </row>
    <row r="87" spans="1:59">
      <c r="E87" s="23"/>
      <c r="F87" s="23"/>
      <c r="G87" s="23"/>
      <c r="H87" s="23"/>
      <c r="I87" s="23"/>
      <c r="J87" s="23"/>
      <c r="K87" s="23"/>
      <c r="L87" s="10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104"/>
      <c r="AD87" s="23"/>
      <c r="AE87" s="23"/>
      <c r="AF87" s="23"/>
      <c r="AG87" s="23"/>
      <c r="AH87" s="23"/>
      <c r="AI87" s="103"/>
      <c r="AJ87" s="23"/>
      <c r="AK87" s="23"/>
      <c r="AL87" s="10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103"/>
      <c r="BA87" s="23"/>
      <c r="BB87" s="17"/>
      <c r="BC87" s="23"/>
      <c r="BD87" s="23"/>
      <c r="BE87" s="23"/>
      <c r="BF87" s="23"/>
      <c r="BG87" s="23"/>
    </row>
    <row r="88" spans="1:59">
      <c r="E88" s="23"/>
      <c r="F88" s="23"/>
      <c r="G88" s="23"/>
      <c r="H88" s="23"/>
      <c r="I88" s="23"/>
      <c r="J88" s="23"/>
      <c r="K88" s="23"/>
      <c r="L88" s="10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136" t="s">
        <v>167</v>
      </c>
      <c r="Z88" s="137">
        <f>-0.387*Z10</f>
        <v>-311814.30858945742</v>
      </c>
      <c r="AA88" s="23"/>
      <c r="AB88" s="23"/>
      <c r="AC88" s="104"/>
      <c r="AD88" s="23"/>
      <c r="AE88" s="23"/>
      <c r="AF88" s="23"/>
      <c r="AG88" s="23"/>
      <c r="AH88" s="23"/>
      <c r="AI88" s="103"/>
      <c r="AJ88" s="23"/>
      <c r="AK88" s="23"/>
      <c r="AL88" s="10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138" t="s">
        <v>168</v>
      </c>
      <c r="BA88" s="116" t="s">
        <v>169</v>
      </c>
      <c r="BB88" s="17"/>
      <c r="BC88" s="23"/>
      <c r="BD88" s="23"/>
      <c r="BE88" s="23"/>
      <c r="BF88" s="23"/>
      <c r="BG88" s="23"/>
    </row>
    <row r="89" spans="1:59" ht="13.5" thickBot="1">
      <c r="E89" s="23"/>
      <c r="F89" s="23"/>
      <c r="G89" s="23"/>
      <c r="H89" s="23"/>
      <c r="I89" s="23"/>
      <c r="J89" s="23"/>
      <c r="K89" s="23"/>
      <c r="L89" s="10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136"/>
      <c r="Z89" s="137"/>
      <c r="AA89" s="23"/>
      <c r="AB89" s="23"/>
      <c r="AC89" s="104"/>
      <c r="AD89" s="23"/>
      <c r="AE89" s="23"/>
      <c r="AF89" s="23"/>
      <c r="AG89" s="23"/>
      <c r="AH89" s="23"/>
      <c r="AI89" s="139">
        <f>SUM(AI84:AI86)</f>
        <v>141529.4358812884</v>
      </c>
      <c r="AJ89" s="139">
        <f>SUM(AJ84:AJ86)</f>
        <v>-24909.66343082083</v>
      </c>
      <c r="AK89" s="23"/>
      <c r="AL89" s="10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103"/>
      <c r="BA89" s="116"/>
      <c r="BB89" s="17"/>
      <c r="BC89" s="23"/>
      <c r="BD89" s="23"/>
      <c r="BE89" s="23"/>
      <c r="BF89" s="23"/>
      <c r="BG89" s="23"/>
    </row>
    <row r="90" spans="1:59" ht="13.5" thickTop="1">
      <c r="E90" s="23"/>
      <c r="F90" s="23"/>
      <c r="G90" s="23"/>
      <c r="H90" s="23"/>
      <c r="I90" s="23"/>
      <c r="J90" s="23"/>
      <c r="K90" s="23"/>
      <c r="L90" s="10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136"/>
      <c r="Z90" s="137"/>
      <c r="AA90" s="23"/>
      <c r="AB90" s="23"/>
      <c r="AC90" s="104"/>
      <c r="AD90" s="23"/>
      <c r="AE90" s="23"/>
      <c r="AF90" s="23"/>
      <c r="AG90" s="23"/>
      <c r="AH90" s="23"/>
      <c r="AI90" s="103"/>
      <c r="AJ90" s="23"/>
      <c r="AK90" s="23"/>
      <c r="AL90" s="10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103"/>
      <c r="BA90" s="116" t="s">
        <v>170</v>
      </c>
      <c r="BB90" s="17"/>
      <c r="BC90" s="23"/>
      <c r="BD90" s="23"/>
      <c r="BE90" s="23"/>
      <c r="BF90" s="23"/>
      <c r="BG90" s="23"/>
    </row>
    <row r="91" spans="1:59">
      <c r="E91" s="23"/>
      <c r="F91" s="23"/>
      <c r="G91" s="23"/>
      <c r="H91" s="23"/>
      <c r="I91" s="23"/>
      <c r="J91" s="23"/>
      <c r="K91" s="23"/>
      <c r="L91" s="10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136" t="s">
        <v>171</v>
      </c>
      <c r="Z91" s="140">
        <f>Z84+Z88</f>
        <v>-85642.485372503405</v>
      </c>
      <c r="AA91" s="23"/>
      <c r="AB91" s="23"/>
      <c r="AC91" s="104"/>
      <c r="AD91" s="23"/>
      <c r="AE91" s="23"/>
      <c r="AF91" s="23"/>
      <c r="AG91" s="23"/>
      <c r="AH91" s="23"/>
      <c r="AI91" s="103"/>
      <c r="AJ91" s="23"/>
      <c r="AK91" s="23"/>
      <c r="AL91" s="10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103"/>
      <c r="BA91" s="23"/>
      <c r="BB91" s="17"/>
      <c r="BC91" s="23"/>
      <c r="BD91" s="23"/>
      <c r="BE91" s="23"/>
      <c r="BF91" s="23"/>
      <c r="BG91" s="23"/>
    </row>
    <row r="92" spans="1:59">
      <c r="E92" s="23"/>
      <c r="F92" s="23"/>
      <c r="G92" s="23"/>
      <c r="H92" s="23"/>
      <c r="I92" s="23"/>
      <c r="J92" s="23"/>
      <c r="K92" s="23"/>
      <c r="L92" s="10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104"/>
      <c r="AD92" s="23"/>
      <c r="AE92" s="23"/>
      <c r="AF92" s="23"/>
      <c r="AG92" s="23"/>
      <c r="AH92" s="23"/>
      <c r="AI92" s="103"/>
      <c r="AJ92" s="23"/>
      <c r="AK92" s="23"/>
      <c r="AL92" s="10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103"/>
      <c r="BA92" s="134" t="s">
        <v>172</v>
      </c>
      <c r="BB92" s="17"/>
      <c r="BC92" s="23"/>
      <c r="BD92" s="23"/>
      <c r="BE92" s="23"/>
      <c r="BF92" s="23"/>
      <c r="BG92" s="23"/>
    </row>
    <row r="93" spans="1:59">
      <c r="E93" s="23"/>
      <c r="F93" s="23"/>
      <c r="G93" s="23"/>
      <c r="H93" s="23"/>
      <c r="I93" s="23"/>
      <c r="J93" s="23"/>
      <c r="K93" s="23"/>
      <c r="L93" s="10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141">
        <f>0.5</f>
        <v>0.5</v>
      </c>
      <c r="AA93" s="23"/>
      <c r="AB93" s="23"/>
      <c r="AC93" s="104"/>
      <c r="AD93" s="23"/>
      <c r="AE93" s="23"/>
      <c r="AF93" s="23"/>
      <c r="AG93" s="23"/>
      <c r="AH93" s="23"/>
      <c r="AI93" s="103"/>
      <c r="AJ93" s="23"/>
      <c r="AK93" s="23"/>
      <c r="AL93" s="10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103"/>
      <c r="BA93" s="23"/>
      <c r="BB93" s="17"/>
      <c r="BC93" s="23"/>
      <c r="BD93" s="23"/>
      <c r="BE93" s="23"/>
      <c r="BF93" s="23"/>
      <c r="BG93" s="23"/>
    </row>
    <row r="94" spans="1:59">
      <c r="E94" s="23"/>
      <c r="F94" s="23"/>
      <c r="G94" s="23"/>
      <c r="H94" s="23"/>
      <c r="I94" s="23"/>
      <c r="J94" s="23"/>
      <c r="K94" s="23"/>
      <c r="L94" s="10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137"/>
      <c r="AA94" s="23"/>
      <c r="AB94" s="23"/>
      <c r="AC94" s="104"/>
      <c r="AD94" s="23"/>
      <c r="AE94" s="23"/>
      <c r="AF94" s="23"/>
      <c r="AG94" s="23"/>
      <c r="AH94" s="23"/>
      <c r="AI94" s="103"/>
      <c r="AJ94" s="23"/>
      <c r="AK94" s="23"/>
      <c r="AL94" s="10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103"/>
      <c r="BA94" s="23"/>
      <c r="BB94" s="17"/>
      <c r="BC94" s="23"/>
      <c r="BD94" s="23"/>
      <c r="BE94" s="23"/>
      <c r="BF94" s="23"/>
      <c r="BG94" s="23"/>
    </row>
    <row r="95" spans="1:59" ht="13.5" thickBot="1">
      <c r="E95" s="23"/>
      <c r="F95" s="23"/>
      <c r="G95" s="23"/>
      <c r="H95" s="23"/>
      <c r="I95" s="23"/>
      <c r="J95" s="23"/>
      <c r="K95" s="23"/>
      <c r="L95" s="10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73"/>
      <c r="Y95" s="142" t="s">
        <v>173</v>
      </c>
      <c r="Z95" s="143">
        <f>Z93*Z91</f>
        <v>-42821.242686251702</v>
      </c>
      <c r="AA95" s="23"/>
      <c r="AB95" s="23"/>
      <c r="AC95" s="104"/>
      <c r="AD95" s="23"/>
      <c r="AE95" s="23"/>
      <c r="AF95" s="23"/>
      <c r="AG95" s="23"/>
      <c r="AH95" s="23"/>
      <c r="AI95" s="103"/>
      <c r="AJ95" s="23"/>
      <c r="AK95" s="23"/>
      <c r="AL95" s="10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103"/>
      <c r="BA95" s="23"/>
      <c r="BB95" s="17"/>
      <c r="BC95" s="23"/>
      <c r="BD95" s="23"/>
      <c r="BE95" s="23"/>
      <c r="BF95" s="23"/>
      <c r="BG95" s="23"/>
    </row>
    <row r="96" spans="1:59" ht="13.5" thickTop="1">
      <c r="E96" s="23"/>
      <c r="F96" s="23"/>
      <c r="G96" s="23"/>
      <c r="H96" s="23"/>
      <c r="I96" s="23"/>
      <c r="J96" s="23"/>
      <c r="K96" s="23"/>
      <c r="L96" s="10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104"/>
      <c r="AD96" s="23"/>
      <c r="AE96" s="23"/>
      <c r="AF96" s="23"/>
      <c r="AG96" s="23"/>
      <c r="AH96" s="23"/>
      <c r="AI96" s="103"/>
      <c r="AJ96" s="23"/>
      <c r="AK96" s="23"/>
      <c r="AL96" s="10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103"/>
      <c r="BA96" s="23"/>
      <c r="BB96" s="17"/>
      <c r="BC96" s="23"/>
      <c r="BD96" s="23"/>
      <c r="BE96" s="23"/>
      <c r="BF96" s="23"/>
      <c r="BG96" s="23"/>
    </row>
    <row r="97" spans="5:59">
      <c r="E97" s="23"/>
      <c r="F97" s="23"/>
      <c r="G97" s="23"/>
      <c r="H97" s="23"/>
      <c r="I97" s="23"/>
      <c r="J97" s="23"/>
      <c r="K97" s="23"/>
      <c r="L97" s="10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104"/>
      <c r="AD97" s="23"/>
      <c r="AE97" s="23"/>
      <c r="AF97" s="23"/>
      <c r="AG97" s="23"/>
      <c r="AH97" s="23"/>
      <c r="AI97" s="103"/>
      <c r="AJ97" s="23"/>
      <c r="AK97" s="23"/>
      <c r="AL97" s="10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103"/>
      <c r="BA97" s="23"/>
      <c r="BB97" s="17"/>
      <c r="BC97" s="23"/>
      <c r="BD97" s="23"/>
      <c r="BE97" s="23"/>
      <c r="BF97" s="23"/>
      <c r="BG97" s="23"/>
    </row>
    <row r="98" spans="5:59">
      <c r="E98" s="23"/>
      <c r="F98" s="23"/>
      <c r="G98" s="23"/>
      <c r="H98" s="23"/>
      <c r="I98" s="23"/>
      <c r="J98" s="23"/>
      <c r="K98" s="23"/>
      <c r="L98" s="10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104"/>
      <c r="AD98" s="23"/>
      <c r="AE98" s="23"/>
      <c r="AF98" s="23"/>
      <c r="AG98" s="23"/>
      <c r="AH98" s="23"/>
      <c r="AI98" s="103"/>
      <c r="AJ98" s="23"/>
      <c r="AK98" s="23"/>
      <c r="AL98" s="10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103"/>
      <c r="BA98" s="23"/>
      <c r="BB98" s="17"/>
      <c r="BC98" s="23"/>
      <c r="BD98" s="23"/>
      <c r="BE98" s="23"/>
      <c r="BF98" s="23"/>
      <c r="BG98" s="23"/>
    </row>
    <row r="99" spans="5:59">
      <c r="E99" s="23"/>
      <c r="F99" s="23"/>
      <c r="G99" s="23"/>
      <c r="H99" s="23"/>
      <c r="I99" s="23"/>
      <c r="J99" s="23"/>
      <c r="K99" s="23"/>
      <c r="L99" s="10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104"/>
      <c r="AD99" s="23"/>
      <c r="AE99" s="23"/>
      <c r="AF99" s="23"/>
      <c r="AG99" s="23"/>
      <c r="AH99" s="23"/>
      <c r="AI99" s="103"/>
      <c r="AJ99" s="23"/>
      <c r="AK99" s="23"/>
      <c r="AL99" s="10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103"/>
      <c r="BA99" s="23"/>
      <c r="BB99" s="17"/>
      <c r="BC99" s="23"/>
      <c r="BD99" s="23"/>
      <c r="BE99" s="23"/>
      <c r="BF99" s="23"/>
      <c r="BG99" s="23"/>
    </row>
    <row r="100" spans="5:59">
      <c r="E100" s="23"/>
      <c r="F100" s="23"/>
      <c r="G100" s="23"/>
      <c r="H100" s="23"/>
      <c r="I100" s="23"/>
      <c r="J100" s="23"/>
      <c r="K100" s="23"/>
      <c r="L100" s="10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104"/>
      <c r="AD100" s="23"/>
      <c r="AE100" s="23"/>
      <c r="AF100" s="23"/>
      <c r="AG100" s="23"/>
      <c r="AH100" s="23"/>
      <c r="AI100" s="103"/>
      <c r="AJ100" s="23"/>
      <c r="AK100" s="23"/>
      <c r="AL100" s="10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103"/>
      <c r="BA100" s="23"/>
      <c r="BB100" s="17"/>
      <c r="BC100" s="23"/>
      <c r="BD100" s="23"/>
      <c r="BE100" s="23"/>
      <c r="BF100" s="23"/>
      <c r="BG100" s="23"/>
    </row>
    <row r="101" spans="5:59">
      <c r="E101" s="23"/>
      <c r="F101" s="23"/>
      <c r="G101" s="23"/>
      <c r="H101" s="23"/>
      <c r="I101" s="23"/>
      <c r="J101" s="23"/>
      <c r="K101" s="23"/>
      <c r="L101" s="10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104"/>
      <c r="AD101" s="23"/>
      <c r="AE101" s="23"/>
      <c r="AF101" s="23"/>
      <c r="AG101" s="23"/>
      <c r="AH101" s="23"/>
      <c r="AI101" s="103"/>
      <c r="AJ101" s="23"/>
      <c r="AK101" s="23"/>
      <c r="AL101" s="10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103"/>
      <c r="BA101" s="23"/>
      <c r="BB101" s="17"/>
      <c r="BC101" s="23"/>
      <c r="BD101" s="23"/>
      <c r="BE101" s="23"/>
      <c r="BF101" s="23"/>
      <c r="BG101" s="23"/>
    </row>
    <row r="102" spans="5:59">
      <c r="E102" s="23"/>
      <c r="F102" s="23"/>
      <c r="G102" s="23"/>
      <c r="H102" s="23"/>
      <c r="I102" s="23"/>
      <c r="J102" s="23"/>
      <c r="K102" s="23"/>
      <c r="L102" s="10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104"/>
      <c r="AD102" s="23"/>
      <c r="AE102" s="23"/>
      <c r="AF102" s="23"/>
      <c r="AG102" s="23"/>
      <c r="AH102" s="23"/>
      <c r="AI102" s="103"/>
      <c r="AJ102" s="23"/>
      <c r="AK102" s="23"/>
      <c r="AL102" s="10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103"/>
      <c r="BA102" s="23"/>
      <c r="BB102" s="17"/>
      <c r="BC102" s="23"/>
      <c r="BD102" s="23"/>
      <c r="BE102" s="23"/>
      <c r="BF102" s="23"/>
      <c r="BG102" s="23"/>
    </row>
    <row r="103" spans="5:59">
      <c r="E103" s="23"/>
      <c r="F103" s="23"/>
      <c r="G103" s="23"/>
      <c r="H103" s="23"/>
      <c r="I103" s="23"/>
      <c r="J103" s="23"/>
      <c r="K103" s="23"/>
      <c r="L103" s="10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104"/>
      <c r="AD103" s="23"/>
      <c r="AE103" s="23"/>
      <c r="AF103" s="23"/>
      <c r="AG103" s="23"/>
      <c r="AH103" s="23"/>
      <c r="AI103" s="103"/>
      <c r="AJ103" s="23"/>
      <c r="AK103" s="23"/>
      <c r="AL103" s="10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103"/>
      <c r="BA103" s="23"/>
      <c r="BB103" s="17"/>
      <c r="BC103" s="23"/>
      <c r="BD103" s="23"/>
      <c r="BE103" s="23"/>
      <c r="BF103" s="23"/>
      <c r="BG103" s="23"/>
    </row>
    <row r="104" spans="5:59">
      <c r="E104" s="23"/>
      <c r="F104" s="23"/>
      <c r="G104" s="23"/>
      <c r="H104" s="23"/>
      <c r="I104" s="23"/>
      <c r="J104" s="23"/>
      <c r="K104" s="23"/>
      <c r="L104" s="10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104"/>
      <c r="AD104" s="23"/>
      <c r="AE104" s="23"/>
      <c r="AF104" s="23"/>
      <c r="AG104" s="23"/>
      <c r="AH104" s="23"/>
      <c r="AI104" s="103"/>
      <c r="AJ104" s="23"/>
      <c r="AK104" s="23"/>
      <c r="AL104" s="10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103"/>
      <c r="BA104" s="23"/>
      <c r="BB104" s="17"/>
      <c r="BC104" s="23"/>
      <c r="BD104" s="23"/>
      <c r="BE104" s="23"/>
      <c r="BF104" s="23"/>
      <c r="BG104" s="23"/>
    </row>
    <row r="105" spans="5:59">
      <c r="E105" s="23"/>
      <c r="F105" s="23"/>
      <c r="G105" s="23"/>
      <c r="H105" s="23"/>
      <c r="I105" s="23"/>
      <c r="J105" s="23"/>
      <c r="K105" s="23"/>
      <c r="L105" s="10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104"/>
      <c r="AD105" s="23"/>
      <c r="AE105" s="23"/>
      <c r="AF105" s="23"/>
      <c r="AG105" s="23"/>
      <c r="AH105" s="23"/>
      <c r="AI105" s="103"/>
      <c r="AJ105" s="23"/>
      <c r="AK105" s="23"/>
      <c r="AL105" s="10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103"/>
      <c r="BA105" s="23"/>
      <c r="BB105" s="17"/>
      <c r="BC105" s="23"/>
      <c r="BD105" s="23"/>
      <c r="BE105" s="23"/>
      <c r="BF105" s="23"/>
      <c r="BG105" s="23"/>
    </row>
    <row r="106" spans="5:59">
      <c r="E106" s="23"/>
      <c r="F106" s="23"/>
      <c r="G106" s="23"/>
      <c r="H106" s="23"/>
      <c r="I106" s="23"/>
      <c r="J106" s="23"/>
      <c r="K106" s="23"/>
      <c r="L106" s="10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104"/>
      <c r="AD106" s="23"/>
      <c r="AE106" s="23"/>
      <c r="AF106" s="23"/>
      <c r="AG106" s="23"/>
      <c r="AH106" s="23"/>
      <c r="AI106" s="103"/>
      <c r="AJ106" s="23"/>
      <c r="AK106" s="23"/>
      <c r="AL106" s="10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103"/>
      <c r="BA106" s="23"/>
      <c r="BB106" s="17"/>
      <c r="BC106" s="23"/>
      <c r="BD106" s="23"/>
      <c r="BE106" s="23"/>
      <c r="BF106" s="23"/>
      <c r="BG106" s="23"/>
    </row>
    <row r="107" spans="5:59">
      <c r="E107" s="23"/>
      <c r="F107" s="23"/>
      <c r="G107" s="23"/>
      <c r="H107" s="23"/>
      <c r="I107" s="23"/>
      <c r="J107" s="23"/>
      <c r="K107" s="23"/>
      <c r="L107" s="10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104"/>
      <c r="AD107" s="23"/>
      <c r="AE107" s="23"/>
      <c r="AF107" s="23"/>
      <c r="AG107" s="23"/>
      <c r="AH107" s="23"/>
      <c r="AI107" s="103"/>
      <c r="AJ107" s="23"/>
      <c r="AK107" s="23"/>
      <c r="AL107" s="10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103"/>
      <c r="BA107" s="23"/>
      <c r="BB107" s="17"/>
      <c r="BC107" s="23"/>
      <c r="BD107" s="23"/>
      <c r="BE107" s="23"/>
      <c r="BF107" s="23"/>
      <c r="BG107" s="23"/>
    </row>
    <row r="108" spans="5:59">
      <c r="E108" s="23"/>
      <c r="F108" s="23"/>
      <c r="G108" s="23"/>
      <c r="H108" s="23"/>
      <c r="I108" s="23"/>
      <c r="J108" s="23"/>
      <c r="K108" s="23"/>
      <c r="L108" s="10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104"/>
      <c r="AD108" s="23"/>
      <c r="AE108" s="23"/>
      <c r="AF108" s="23"/>
      <c r="AG108" s="23"/>
      <c r="AH108" s="23"/>
      <c r="AI108" s="103"/>
      <c r="AJ108" s="23"/>
      <c r="AK108" s="23"/>
      <c r="AL108" s="10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103"/>
      <c r="BA108" s="23"/>
      <c r="BB108" s="17"/>
      <c r="BC108" s="23"/>
      <c r="BD108" s="23"/>
      <c r="BE108" s="23"/>
      <c r="BF108" s="23"/>
      <c r="BG108" s="23"/>
    </row>
    <row r="109" spans="5:59">
      <c r="E109" s="23"/>
      <c r="F109" s="23"/>
      <c r="G109" s="23"/>
      <c r="H109" s="23"/>
      <c r="I109" s="23"/>
      <c r="J109" s="23"/>
      <c r="K109" s="23"/>
      <c r="L109" s="10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104"/>
      <c r="AD109" s="23"/>
      <c r="AE109" s="23"/>
      <c r="AF109" s="23"/>
      <c r="AG109" s="23"/>
      <c r="AH109" s="23"/>
      <c r="AI109" s="103"/>
      <c r="AJ109" s="23"/>
      <c r="AK109" s="23"/>
      <c r="AL109" s="10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103"/>
      <c r="BA109" s="23"/>
      <c r="BB109" s="17"/>
      <c r="BC109" s="23"/>
      <c r="BD109" s="23"/>
      <c r="BE109" s="23"/>
      <c r="BF109" s="23"/>
      <c r="BG109" s="23"/>
    </row>
    <row r="110" spans="5:59">
      <c r="E110" s="23"/>
      <c r="F110" s="23"/>
      <c r="G110" s="23"/>
      <c r="H110" s="23"/>
      <c r="I110" s="23"/>
      <c r="J110" s="23"/>
      <c r="K110" s="23"/>
      <c r="L110" s="10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104"/>
      <c r="AD110" s="23"/>
      <c r="AE110" s="23"/>
      <c r="AF110" s="23"/>
      <c r="AG110" s="23"/>
      <c r="AH110" s="23"/>
      <c r="AI110" s="103"/>
      <c r="AJ110" s="23"/>
      <c r="AK110" s="23"/>
      <c r="AL110" s="10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103"/>
      <c r="BA110" s="23"/>
      <c r="BB110" s="17"/>
      <c r="BC110" s="23"/>
      <c r="BD110" s="23"/>
      <c r="BE110" s="23"/>
      <c r="BF110" s="23"/>
      <c r="BG110" s="23"/>
    </row>
    <row r="111" spans="5:59">
      <c r="E111" s="23"/>
      <c r="F111" s="23"/>
      <c r="G111" s="23"/>
      <c r="H111" s="23"/>
      <c r="I111" s="23"/>
      <c r="J111" s="23"/>
      <c r="K111" s="23"/>
      <c r="L111" s="10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104"/>
      <c r="AD111" s="23"/>
      <c r="AE111" s="23"/>
      <c r="AF111" s="23"/>
      <c r="AG111" s="23"/>
      <c r="AH111" s="23"/>
      <c r="AI111" s="103"/>
      <c r="AJ111" s="23"/>
      <c r="AK111" s="23"/>
      <c r="AL111" s="10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103"/>
      <c r="BA111" s="23"/>
      <c r="BB111" s="17"/>
      <c r="BC111" s="23"/>
      <c r="BD111" s="23"/>
      <c r="BE111" s="23"/>
      <c r="BF111" s="23"/>
      <c r="BG111" s="23"/>
    </row>
    <row r="112" spans="5:59">
      <c r="E112" s="23"/>
      <c r="F112" s="23"/>
      <c r="G112" s="23"/>
      <c r="H112" s="23"/>
      <c r="I112" s="23"/>
      <c r="J112" s="23"/>
      <c r="K112" s="23"/>
      <c r="L112" s="10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104"/>
      <c r="AD112" s="23"/>
      <c r="AE112" s="23"/>
      <c r="AF112" s="23"/>
      <c r="AG112" s="23"/>
      <c r="AH112" s="23"/>
      <c r="AI112" s="103"/>
      <c r="AJ112" s="23"/>
      <c r="AK112" s="23"/>
      <c r="AL112" s="10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103"/>
      <c r="BA112" s="23"/>
      <c r="BB112" s="17"/>
      <c r="BC112" s="23"/>
      <c r="BD112" s="23"/>
      <c r="BE112" s="23"/>
      <c r="BF112" s="23"/>
      <c r="BG112" s="23"/>
    </row>
    <row r="113" spans="5:59">
      <c r="E113" s="23"/>
      <c r="F113" s="23"/>
      <c r="G113" s="23"/>
      <c r="H113" s="23"/>
      <c r="I113" s="23"/>
      <c r="J113" s="23"/>
      <c r="K113" s="23"/>
      <c r="L113" s="10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104"/>
      <c r="AD113" s="23"/>
      <c r="AE113" s="23"/>
      <c r="AF113" s="23"/>
      <c r="AG113" s="23"/>
      <c r="AH113" s="23"/>
      <c r="AI113" s="103"/>
      <c r="AJ113" s="23"/>
      <c r="AK113" s="23"/>
      <c r="AL113" s="10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103"/>
      <c r="BA113" s="23"/>
      <c r="BB113" s="17"/>
      <c r="BC113" s="23"/>
      <c r="BD113" s="23"/>
      <c r="BE113" s="23"/>
      <c r="BF113" s="23"/>
      <c r="BG113" s="23"/>
    </row>
    <row r="114" spans="5:59">
      <c r="E114" s="23"/>
      <c r="F114" s="23"/>
      <c r="G114" s="23"/>
      <c r="H114" s="23"/>
      <c r="I114" s="23"/>
      <c r="J114" s="23"/>
      <c r="K114" s="23"/>
      <c r="L114" s="10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104"/>
      <c r="AD114" s="23"/>
      <c r="AE114" s="23"/>
      <c r="AF114" s="23"/>
      <c r="AG114" s="23"/>
      <c r="AH114" s="23"/>
      <c r="AI114" s="103"/>
      <c r="AJ114" s="23"/>
      <c r="AK114" s="23"/>
      <c r="AL114" s="10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103"/>
      <c r="BA114" s="23"/>
      <c r="BB114" s="17"/>
      <c r="BC114" s="23"/>
      <c r="BD114" s="23"/>
      <c r="BE114" s="23"/>
      <c r="BF114" s="23"/>
      <c r="BG114" s="23"/>
    </row>
    <row r="115" spans="5:59">
      <c r="E115" s="23"/>
      <c r="F115" s="23"/>
      <c r="G115" s="23"/>
      <c r="H115" s="23"/>
      <c r="I115" s="23"/>
      <c r="J115" s="23"/>
      <c r="K115" s="23"/>
      <c r="L115" s="10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104"/>
      <c r="AD115" s="23"/>
      <c r="AE115" s="23"/>
      <c r="AF115" s="23"/>
      <c r="AG115" s="23"/>
      <c r="AH115" s="23"/>
      <c r="AI115" s="103"/>
      <c r="AJ115" s="23"/>
      <c r="AK115" s="23"/>
      <c r="AL115" s="10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103"/>
      <c r="BA115" s="23"/>
      <c r="BB115" s="17"/>
      <c r="BC115" s="23"/>
      <c r="BD115" s="23"/>
      <c r="BE115" s="23"/>
      <c r="BF115" s="23"/>
      <c r="BG115" s="23"/>
    </row>
    <row r="116" spans="5:59">
      <c r="E116" s="23"/>
      <c r="F116" s="23"/>
      <c r="G116" s="23"/>
      <c r="H116" s="23"/>
      <c r="I116" s="23"/>
      <c r="J116" s="23"/>
      <c r="K116" s="23"/>
      <c r="L116" s="10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104"/>
      <c r="AD116" s="23"/>
      <c r="AE116" s="23"/>
      <c r="AF116" s="23"/>
      <c r="AG116" s="23"/>
      <c r="AH116" s="23"/>
      <c r="AI116" s="103"/>
      <c r="AJ116" s="23"/>
      <c r="AK116" s="23"/>
      <c r="AL116" s="10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103"/>
      <c r="BA116" s="23"/>
      <c r="BB116" s="17"/>
      <c r="BC116" s="23"/>
      <c r="BD116" s="23"/>
      <c r="BE116" s="23"/>
      <c r="BF116" s="23"/>
      <c r="BG116" s="23"/>
    </row>
    <row r="117" spans="5:59">
      <c r="E117" s="23"/>
      <c r="F117" s="23"/>
      <c r="G117" s="23"/>
      <c r="H117" s="23"/>
      <c r="I117" s="23"/>
      <c r="J117" s="23"/>
      <c r="K117" s="23"/>
      <c r="L117" s="10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104"/>
      <c r="AD117" s="23"/>
      <c r="AE117" s="23"/>
      <c r="AF117" s="23"/>
      <c r="AG117" s="23"/>
      <c r="AH117" s="23"/>
      <c r="AI117" s="103"/>
      <c r="AJ117" s="23"/>
      <c r="AK117" s="23"/>
      <c r="AL117" s="10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103"/>
      <c r="BA117" s="23"/>
      <c r="BB117" s="17"/>
      <c r="BC117" s="23"/>
      <c r="BD117" s="23"/>
      <c r="BE117" s="23"/>
      <c r="BF117" s="23"/>
      <c r="BG117" s="23"/>
    </row>
    <row r="118" spans="5:59">
      <c r="E118" s="23"/>
      <c r="F118" s="23"/>
      <c r="G118" s="23"/>
      <c r="H118" s="23"/>
      <c r="I118" s="23"/>
      <c r="J118" s="23"/>
      <c r="K118" s="23"/>
      <c r="L118" s="10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104"/>
      <c r="AD118" s="23"/>
      <c r="AE118" s="23"/>
      <c r="AF118" s="23"/>
      <c r="AG118" s="23"/>
      <c r="AH118" s="23"/>
      <c r="AI118" s="103"/>
      <c r="AJ118" s="23"/>
      <c r="AK118" s="23"/>
      <c r="AL118" s="10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103"/>
      <c r="BA118" s="23"/>
      <c r="BB118" s="17"/>
      <c r="BC118" s="23"/>
      <c r="BD118" s="23"/>
      <c r="BE118" s="23"/>
      <c r="BF118" s="23"/>
      <c r="BG118" s="23"/>
    </row>
    <row r="119" spans="5:59">
      <c r="E119" s="23"/>
      <c r="F119" s="23"/>
      <c r="G119" s="23"/>
      <c r="H119" s="23"/>
      <c r="I119" s="23"/>
      <c r="J119" s="23"/>
      <c r="K119" s="23"/>
      <c r="L119" s="10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104"/>
      <c r="AD119" s="23"/>
      <c r="AE119" s="23"/>
      <c r="AF119" s="23"/>
      <c r="AG119" s="23"/>
      <c r="AH119" s="23"/>
      <c r="AI119" s="103"/>
      <c r="AJ119" s="23"/>
      <c r="AK119" s="23"/>
      <c r="AL119" s="10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103"/>
      <c r="BA119" s="23"/>
      <c r="BB119" s="17"/>
      <c r="BC119" s="23"/>
      <c r="BD119" s="23"/>
      <c r="BE119" s="23"/>
      <c r="BF119" s="23"/>
      <c r="BG119" s="23"/>
    </row>
    <row r="120" spans="5:59">
      <c r="E120" s="23"/>
      <c r="F120" s="23"/>
      <c r="G120" s="23"/>
      <c r="H120" s="23"/>
      <c r="I120" s="23"/>
      <c r="J120" s="23"/>
      <c r="K120" s="23"/>
      <c r="L120" s="10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104"/>
      <c r="AD120" s="23"/>
      <c r="AE120" s="23"/>
      <c r="AF120" s="23"/>
      <c r="AG120" s="23"/>
      <c r="AH120" s="23"/>
      <c r="AI120" s="103"/>
      <c r="AJ120" s="23"/>
      <c r="AK120" s="23"/>
      <c r="AL120" s="10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103"/>
      <c r="BA120" s="23"/>
      <c r="BB120" s="17"/>
      <c r="BC120" s="23"/>
      <c r="BD120" s="23"/>
      <c r="BE120" s="23"/>
      <c r="BF120" s="23"/>
      <c r="BG120" s="23"/>
    </row>
    <row r="121" spans="5:59">
      <c r="E121" s="23"/>
      <c r="F121" s="23"/>
      <c r="G121" s="23"/>
      <c r="H121" s="23"/>
      <c r="I121" s="23"/>
      <c r="J121" s="23"/>
      <c r="K121" s="23"/>
      <c r="L121" s="10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104"/>
      <c r="AD121" s="23"/>
      <c r="AE121" s="23"/>
      <c r="AF121" s="23"/>
      <c r="AG121" s="23"/>
      <c r="AH121" s="23"/>
      <c r="AI121" s="103"/>
      <c r="AJ121" s="23"/>
      <c r="AK121" s="23"/>
      <c r="AL121" s="10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103"/>
      <c r="BA121" s="23"/>
      <c r="BB121" s="17"/>
      <c r="BC121" s="23"/>
      <c r="BD121" s="23"/>
      <c r="BE121" s="23"/>
      <c r="BF121" s="23"/>
      <c r="BG121" s="23"/>
    </row>
    <row r="122" spans="5:59">
      <c r="E122" s="23"/>
      <c r="F122" s="23"/>
      <c r="G122" s="23"/>
      <c r="H122" s="23"/>
      <c r="I122" s="23"/>
      <c r="J122" s="23"/>
      <c r="K122" s="23"/>
      <c r="L122" s="10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104"/>
      <c r="AD122" s="23"/>
      <c r="AE122" s="23"/>
      <c r="AF122" s="23"/>
      <c r="AG122" s="23"/>
      <c r="AH122" s="23"/>
      <c r="AI122" s="103"/>
      <c r="AJ122" s="23"/>
      <c r="AK122" s="23"/>
      <c r="AL122" s="10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103"/>
      <c r="BA122" s="23"/>
      <c r="BB122" s="17"/>
      <c r="BC122" s="23"/>
      <c r="BD122" s="23"/>
      <c r="BE122" s="23"/>
      <c r="BF122" s="23"/>
      <c r="BG122" s="23"/>
    </row>
    <row r="123" spans="5:59">
      <c r="E123" s="23"/>
      <c r="F123" s="23"/>
      <c r="G123" s="23"/>
      <c r="H123" s="23"/>
      <c r="I123" s="23"/>
      <c r="J123" s="23"/>
      <c r="K123" s="23"/>
      <c r="L123" s="10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104"/>
      <c r="AD123" s="23"/>
      <c r="AE123" s="23"/>
      <c r="AF123" s="23"/>
      <c r="AG123" s="23"/>
      <c r="AH123" s="23"/>
      <c r="AI123" s="103"/>
      <c r="AJ123" s="23"/>
      <c r="AK123" s="23"/>
      <c r="AL123" s="10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103"/>
      <c r="BA123" s="23"/>
      <c r="BB123" s="17"/>
      <c r="BC123" s="23"/>
      <c r="BD123" s="23"/>
      <c r="BE123" s="23"/>
      <c r="BF123" s="23"/>
      <c r="BG123" s="23"/>
    </row>
    <row r="124" spans="5:59">
      <c r="E124" s="23"/>
      <c r="F124" s="23"/>
      <c r="G124" s="23"/>
      <c r="H124" s="23"/>
      <c r="I124" s="23"/>
      <c r="J124" s="23"/>
      <c r="K124" s="23"/>
      <c r="L124" s="10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104"/>
      <c r="AD124" s="23"/>
      <c r="AE124" s="23"/>
      <c r="AF124" s="23"/>
      <c r="AG124" s="23"/>
      <c r="AH124" s="23"/>
      <c r="AI124" s="103"/>
      <c r="AJ124" s="23"/>
      <c r="AK124" s="23"/>
      <c r="AL124" s="10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103"/>
      <c r="BA124" s="23"/>
      <c r="BB124" s="17"/>
      <c r="BC124" s="23"/>
      <c r="BD124" s="23"/>
      <c r="BE124" s="23"/>
      <c r="BF124" s="23"/>
      <c r="BG124" s="23"/>
    </row>
    <row r="125" spans="5:59">
      <c r="E125" s="23"/>
      <c r="F125" s="23"/>
      <c r="G125" s="23"/>
      <c r="H125" s="23"/>
      <c r="I125" s="23"/>
      <c r="J125" s="23"/>
      <c r="K125" s="23"/>
      <c r="L125" s="10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104"/>
      <c r="AD125" s="23"/>
      <c r="AE125" s="23"/>
      <c r="AF125" s="23"/>
      <c r="AG125" s="23"/>
      <c r="AH125" s="23"/>
      <c r="AI125" s="103"/>
      <c r="AJ125" s="23"/>
      <c r="AK125" s="23"/>
      <c r="AL125" s="10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103"/>
      <c r="BA125" s="23"/>
      <c r="BB125" s="17"/>
      <c r="BC125" s="23"/>
      <c r="BD125" s="23"/>
      <c r="BE125" s="23"/>
      <c r="BF125" s="23"/>
      <c r="BG125" s="23"/>
    </row>
    <row r="126" spans="5:59">
      <c r="E126" s="23"/>
      <c r="F126" s="23"/>
      <c r="G126" s="23"/>
      <c r="H126" s="23"/>
      <c r="I126" s="23"/>
      <c r="J126" s="23"/>
      <c r="K126" s="23"/>
      <c r="L126" s="10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104"/>
      <c r="AD126" s="23"/>
      <c r="AE126" s="23"/>
      <c r="AF126" s="23"/>
      <c r="AG126" s="23"/>
      <c r="AH126" s="23"/>
      <c r="AI126" s="103"/>
      <c r="AJ126" s="23"/>
      <c r="AK126" s="23"/>
      <c r="AL126" s="10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103"/>
      <c r="BA126" s="23"/>
      <c r="BB126" s="17"/>
      <c r="BC126" s="23"/>
      <c r="BD126" s="23"/>
      <c r="BE126" s="23"/>
      <c r="BF126" s="23"/>
      <c r="BG126" s="23"/>
    </row>
    <row r="127" spans="5:59">
      <c r="E127" s="23"/>
      <c r="F127" s="23"/>
      <c r="G127" s="23"/>
      <c r="H127" s="23"/>
      <c r="I127" s="23"/>
      <c r="J127" s="23"/>
      <c r="K127" s="23"/>
      <c r="L127" s="10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104"/>
      <c r="AD127" s="23"/>
      <c r="AE127" s="23"/>
      <c r="AF127" s="23"/>
      <c r="AG127" s="23"/>
      <c r="AH127" s="23"/>
      <c r="AI127" s="103"/>
      <c r="AJ127" s="23"/>
      <c r="AK127" s="23"/>
      <c r="AL127" s="10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103"/>
      <c r="BA127" s="23"/>
      <c r="BB127" s="17"/>
      <c r="BC127" s="23"/>
      <c r="BD127" s="23"/>
      <c r="BE127" s="23"/>
      <c r="BF127" s="23"/>
      <c r="BG127" s="23"/>
    </row>
    <row r="128" spans="5:59">
      <c r="E128" s="23"/>
      <c r="F128" s="23"/>
      <c r="G128" s="23"/>
      <c r="H128" s="23"/>
      <c r="I128" s="23"/>
      <c r="J128" s="23"/>
      <c r="K128" s="23"/>
      <c r="L128" s="10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104"/>
      <c r="AD128" s="23"/>
      <c r="AE128" s="23"/>
      <c r="AF128" s="23"/>
      <c r="AG128" s="23"/>
      <c r="AH128" s="23"/>
      <c r="AI128" s="103"/>
      <c r="AJ128" s="23"/>
      <c r="AK128" s="23"/>
      <c r="AL128" s="10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103"/>
      <c r="BA128" s="23"/>
      <c r="BB128" s="17"/>
      <c r="BC128" s="23"/>
      <c r="BD128" s="23"/>
      <c r="BE128" s="23"/>
      <c r="BF128" s="23"/>
      <c r="BG128" s="23"/>
    </row>
    <row r="129" spans="5:59">
      <c r="E129" s="23"/>
      <c r="F129" s="23"/>
      <c r="G129" s="23"/>
      <c r="H129" s="23"/>
      <c r="I129" s="23"/>
      <c r="J129" s="23"/>
      <c r="K129" s="23"/>
      <c r="L129" s="10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104"/>
      <c r="AD129" s="23"/>
      <c r="AE129" s="23"/>
      <c r="AF129" s="23"/>
      <c r="AG129" s="23"/>
      <c r="AH129" s="23"/>
      <c r="AI129" s="103"/>
      <c r="AJ129" s="23"/>
      <c r="AK129" s="23"/>
      <c r="AL129" s="10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103"/>
      <c r="BA129" s="23"/>
      <c r="BB129" s="17"/>
      <c r="BC129" s="23"/>
      <c r="BD129" s="23"/>
      <c r="BE129" s="23"/>
      <c r="BF129" s="23"/>
      <c r="BG129" s="23"/>
    </row>
    <row r="130" spans="5:59">
      <c r="E130" s="23"/>
      <c r="F130" s="23"/>
      <c r="G130" s="23"/>
      <c r="H130" s="23"/>
      <c r="I130" s="23"/>
      <c r="J130" s="23"/>
      <c r="K130" s="23"/>
      <c r="L130" s="10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104"/>
      <c r="AD130" s="23"/>
      <c r="AE130" s="23"/>
      <c r="AF130" s="23"/>
      <c r="AG130" s="23"/>
      <c r="AH130" s="23"/>
      <c r="AI130" s="103"/>
      <c r="AJ130" s="23"/>
      <c r="AK130" s="23"/>
      <c r="AL130" s="10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103"/>
      <c r="BA130" s="23"/>
      <c r="BB130" s="17"/>
      <c r="BC130" s="23"/>
      <c r="BD130" s="23"/>
      <c r="BE130" s="23"/>
      <c r="BF130" s="23"/>
      <c r="BG130" s="23"/>
    </row>
    <row r="131" spans="5:59">
      <c r="E131" s="23"/>
      <c r="F131" s="23"/>
      <c r="G131" s="23"/>
      <c r="H131" s="23"/>
      <c r="I131" s="23"/>
      <c r="J131" s="23"/>
      <c r="K131" s="23"/>
      <c r="L131" s="10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104"/>
      <c r="AD131" s="23"/>
      <c r="AE131" s="23"/>
      <c r="AF131" s="23"/>
      <c r="AG131" s="23"/>
      <c r="AH131" s="23"/>
      <c r="AI131" s="103"/>
      <c r="AJ131" s="23"/>
      <c r="AK131" s="23"/>
      <c r="AL131" s="10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103"/>
      <c r="BA131" s="23"/>
      <c r="BB131" s="17"/>
      <c r="BC131" s="23"/>
      <c r="BD131" s="23"/>
      <c r="BE131" s="23"/>
      <c r="BF131" s="23"/>
      <c r="BG131" s="23"/>
    </row>
    <row r="132" spans="5:59">
      <c r="E132" s="23"/>
      <c r="F132" s="23"/>
      <c r="G132" s="23"/>
      <c r="H132" s="23"/>
      <c r="I132" s="23"/>
      <c r="J132" s="23"/>
      <c r="K132" s="23"/>
      <c r="L132" s="10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104"/>
      <c r="AD132" s="23"/>
      <c r="AE132" s="23"/>
      <c r="AF132" s="23"/>
      <c r="AG132" s="23"/>
      <c r="AH132" s="23"/>
      <c r="AI132" s="103"/>
      <c r="AJ132" s="23"/>
      <c r="AK132" s="23"/>
      <c r="AL132" s="10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103"/>
      <c r="BA132" s="23"/>
      <c r="BB132" s="17"/>
      <c r="BC132" s="23"/>
      <c r="BD132" s="23"/>
      <c r="BE132" s="23"/>
      <c r="BF132" s="23"/>
      <c r="BG132" s="23"/>
    </row>
    <row r="133" spans="5:59">
      <c r="E133" s="23"/>
      <c r="F133" s="23"/>
      <c r="G133" s="23"/>
      <c r="H133" s="23"/>
      <c r="I133" s="23"/>
      <c r="J133" s="23"/>
      <c r="K133" s="23"/>
      <c r="L133" s="10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104"/>
      <c r="AD133" s="23"/>
      <c r="AE133" s="23"/>
      <c r="AF133" s="23"/>
      <c r="AG133" s="23"/>
      <c r="AH133" s="23"/>
      <c r="AI133" s="103"/>
      <c r="AJ133" s="23"/>
      <c r="AK133" s="23"/>
      <c r="AL133" s="10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103"/>
      <c r="BA133" s="23"/>
      <c r="BB133" s="17"/>
      <c r="BC133" s="23"/>
      <c r="BD133" s="23"/>
      <c r="BE133" s="23"/>
      <c r="BF133" s="23"/>
      <c r="BG133" s="23"/>
    </row>
    <row r="134" spans="5:59">
      <c r="E134" s="23"/>
      <c r="F134" s="23"/>
      <c r="G134" s="23"/>
      <c r="H134" s="23"/>
      <c r="I134" s="23"/>
      <c r="J134" s="23"/>
      <c r="K134" s="23"/>
      <c r="L134" s="10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104"/>
      <c r="AD134" s="23"/>
      <c r="AE134" s="23"/>
      <c r="AF134" s="23"/>
      <c r="AG134" s="23"/>
      <c r="AH134" s="23"/>
      <c r="AI134" s="103"/>
      <c r="AJ134" s="23"/>
      <c r="AK134" s="23"/>
      <c r="AL134" s="10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103"/>
      <c r="BA134" s="23"/>
      <c r="BB134" s="17"/>
      <c r="BC134" s="23"/>
      <c r="BD134" s="23"/>
      <c r="BE134" s="23"/>
      <c r="BF134" s="23"/>
      <c r="BG134" s="23"/>
    </row>
    <row r="135" spans="5:59">
      <c r="E135" s="23"/>
      <c r="F135" s="23"/>
      <c r="G135" s="23"/>
      <c r="H135" s="23"/>
      <c r="I135" s="23"/>
      <c r="J135" s="23"/>
      <c r="K135" s="23"/>
      <c r="L135" s="10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104"/>
      <c r="AD135" s="23"/>
      <c r="AE135" s="23"/>
      <c r="AF135" s="23"/>
      <c r="AG135" s="23"/>
      <c r="AH135" s="23"/>
      <c r="AI135" s="103"/>
      <c r="AJ135" s="23"/>
      <c r="AK135" s="23"/>
      <c r="AL135" s="10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103"/>
      <c r="BA135" s="23"/>
      <c r="BB135" s="17"/>
      <c r="BC135" s="23"/>
      <c r="BD135" s="23"/>
      <c r="BE135" s="23"/>
      <c r="BF135" s="23"/>
      <c r="BG135" s="23"/>
    </row>
    <row r="136" spans="5:59">
      <c r="E136" s="23"/>
      <c r="F136" s="23"/>
      <c r="G136" s="23"/>
      <c r="H136" s="23"/>
      <c r="I136" s="23"/>
      <c r="J136" s="23"/>
      <c r="K136" s="23"/>
      <c r="L136" s="10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104"/>
      <c r="AD136" s="23"/>
      <c r="AE136" s="23"/>
      <c r="AF136" s="23"/>
      <c r="AG136" s="23"/>
      <c r="AH136" s="23"/>
      <c r="AI136" s="103"/>
      <c r="AJ136" s="23"/>
      <c r="AK136" s="23"/>
      <c r="AL136" s="10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103"/>
      <c r="BA136" s="23"/>
      <c r="BB136" s="17"/>
      <c r="BC136" s="23"/>
      <c r="BD136" s="23"/>
      <c r="BE136" s="23"/>
      <c r="BF136" s="23"/>
      <c r="BG136" s="23"/>
    </row>
    <row r="137" spans="5:59">
      <c r="E137" s="23"/>
      <c r="F137" s="23"/>
      <c r="G137" s="23"/>
      <c r="H137" s="23"/>
      <c r="I137" s="23"/>
      <c r="J137" s="23"/>
      <c r="K137" s="23"/>
      <c r="L137" s="10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104"/>
      <c r="AD137" s="23"/>
      <c r="AE137" s="23"/>
      <c r="AF137" s="23"/>
      <c r="AG137" s="23"/>
      <c r="AH137" s="23"/>
      <c r="AI137" s="103"/>
      <c r="AJ137" s="23"/>
      <c r="AK137" s="23"/>
      <c r="AL137" s="10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103"/>
      <c r="BA137" s="23"/>
      <c r="BB137" s="17"/>
      <c r="BC137" s="23"/>
      <c r="BD137" s="23"/>
      <c r="BE137" s="23"/>
      <c r="BF137" s="23"/>
      <c r="BG137" s="23"/>
    </row>
    <row r="138" spans="5:59">
      <c r="E138" s="23"/>
      <c r="F138" s="23"/>
      <c r="G138" s="23"/>
      <c r="H138" s="23"/>
      <c r="I138" s="23"/>
      <c r="J138" s="23"/>
      <c r="K138" s="23"/>
      <c r="L138" s="10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104"/>
      <c r="AD138" s="23"/>
      <c r="AE138" s="23"/>
      <c r="AF138" s="23"/>
      <c r="AG138" s="23"/>
      <c r="AH138" s="23"/>
      <c r="AI138" s="103"/>
      <c r="AJ138" s="23"/>
      <c r="AK138" s="23"/>
      <c r="AL138" s="10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103"/>
      <c r="BA138" s="23"/>
      <c r="BB138" s="17"/>
      <c r="BC138" s="23"/>
      <c r="BD138" s="23"/>
      <c r="BE138" s="23"/>
      <c r="BF138" s="23"/>
      <c r="BG138" s="23"/>
    </row>
    <row r="139" spans="5:59">
      <c r="E139" s="23"/>
      <c r="F139" s="23"/>
      <c r="G139" s="23"/>
      <c r="H139" s="23"/>
      <c r="I139" s="23"/>
      <c r="J139" s="23"/>
      <c r="K139" s="23"/>
      <c r="L139" s="10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104"/>
      <c r="AD139" s="23"/>
      <c r="AE139" s="23"/>
      <c r="AF139" s="23"/>
      <c r="AG139" s="23"/>
      <c r="AH139" s="23"/>
      <c r="AI139" s="103"/>
      <c r="AJ139" s="23"/>
      <c r="AK139" s="23"/>
      <c r="AL139" s="10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103"/>
      <c r="BA139" s="23"/>
      <c r="BB139" s="17"/>
      <c r="BC139" s="23"/>
      <c r="BD139" s="23"/>
      <c r="BE139" s="23"/>
      <c r="BF139" s="23"/>
      <c r="BG139" s="23"/>
    </row>
    <row r="140" spans="5:59">
      <c r="E140" s="23"/>
      <c r="F140" s="23"/>
      <c r="G140" s="23"/>
      <c r="H140" s="23"/>
      <c r="I140" s="23"/>
      <c r="J140" s="23"/>
      <c r="K140" s="23"/>
      <c r="L140" s="10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104"/>
      <c r="AD140" s="23"/>
      <c r="AE140" s="23"/>
      <c r="AF140" s="23"/>
      <c r="AG140" s="23"/>
      <c r="AH140" s="23"/>
      <c r="AI140" s="103"/>
      <c r="AJ140" s="23"/>
      <c r="AK140" s="23"/>
      <c r="AL140" s="10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103"/>
      <c r="BA140" s="23"/>
      <c r="BB140" s="17"/>
      <c r="BC140" s="23"/>
      <c r="BD140" s="23"/>
      <c r="BE140" s="23"/>
      <c r="BF140" s="23"/>
      <c r="BG140" s="23"/>
    </row>
    <row r="141" spans="5:59">
      <c r="E141" s="23"/>
      <c r="F141" s="23"/>
      <c r="G141" s="23"/>
      <c r="H141" s="23"/>
      <c r="I141" s="23"/>
      <c r="J141" s="23"/>
      <c r="K141" s="23"/>
      <c r="L141" s="10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104"/>
      <c r="AD141" s="23"/>
      <c r="AE141" s="23"/>
      <c r="AF141" s="23"/>
      <c r="AG141" s="23"/>
      <c r="AH141" s="23"/>
      <c r="AI141" s="103"/>
      <c r="AJ141" s="23"/>
      <c r="AK141" s="23"/>
      <c r="AL141" s="10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103"/>
      <c r="BA141" s="23"/>
      <c r="BB141" s="17"/>
      <c r="BC141" s="23"/>
      <c r="BD141" s="23"/>
      <c r="BE141" s="23"/>
      <c r="BF141" s="23"/>
      <c r="BG141" s="23"/>
    </row>
    <row r="142" spans="5:59">
      <c r="E142" s="23"/>
      <c r="F142" s="23"/>
      <c r="G142" s="23"/>
      <c r="H142" s="23"/>
      <c r="I142" s="23"/>
      <c r="J142" s="23"/>
      <c r="K142" s="23"/>
      <c r="L142" s="10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104"/>
      <c r="AD142" s="23"/>
      <c r="AE142" s="23"/>
      <c r="AF142" s="23"/>
      <c r="AG142" s="23"/>
      <c r="AH142" s="23"/>
      <c r="AI142" s="103"/>
      <c r="AJ142" s="23"/>
      <c r="AK142" s="23"/>
      <c r="AL142" s="10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103"/>
      <c r="BA142" s="23"/>
      <c r="BB142" s="17"/>
      <c r="BC142" s="23"/>
      <c r="BD142" s="23"/>
      <c r="BE142" s="23"/>
      <c r="BF142" s="23"/>
      <c r="BG142" s="23"/>
    </row>
    <row r="143" spans="5:59">
      <c r="E143" s="23"/>
      <c r="F143" s="23"/>
      <c r="G143" s="23"/>
      <c r="H143" s="23"/>
      <c r="I143" s="23"/>
      <c r="J143" s="23"/>
      <c r="K143" s="23"/>
      <c r="L143" s="10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104"/>
      <c r="AD143" s="23"/>
      <c r="AE143" s="23"/>
      <c r="AF143" s="23"/>
      <c r="AG143" s="23"/>
      <c r="AH143" s="23"/>
      <c r="AI143" s="103"/>
      <c r="AJ143" s="23"/>
      <c r="AK143" s="23"/>
      <c r="AL143" s="10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103"/>
      <c r="BA143" s="23"/>
      <c r="BB143" s="17"/>
      <c r="BC143" s="23"/>
      <c r="BD143" s="23"/>
      <c r="BE143" s="23"/>
      <c r="BF143" s="23"/>
      <c r="BG143" s="23"/>
    </row>
    <row r="144" spans="5:59">
      <c r="E144" s="23"/>
      <c r="F144" s="23"/>
      <c r="G144" s="23"/>
      <c r="H144" s="23"/>
      <c r="I144" s="23"/>
      <c r="J144" s="23"/>
      <c r="K144" s="23"/>
      <c r="L144" s="10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104"/>
      <c r="AD144" s="23"/>
      <c r="AE144" s="23"/>
      <c r="AF144" s="23"/>
      <c r="AG144" s="23"/>
      <c r="AH144" s="23"/>
      <c r="AI144" s="103"/>
      <c r="AJ144" s="23"/>
      <c r="AK144" s="23"/>
      <c r="AL144" s="10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103"/>
      <c r="BA144" s="23"/>
      <c r="BB144" s="17"/>
      <c r="BC144" s="23"/>
      <c r="BD144" s="23"/>
      <c r="BE144" s="23"/>
      <c r="BF144" s="23"/>
      <c r="BG144" s="23"/>
    </row>
    <row r="145" spans="5:59">
      <c r="E145" s="23"/>
      <c r="F145" s="23"/>
      <c r="G145" s="23"/>
      <c r="H145" s="23"/>
      <c r="I145" s="23"/>
      <c r="J145" s="23"/>
      <c r="K145" s="23"/>
      <c r="L145" s="10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104"/>
      <c r="AD145" s="23"/>
      <c r="AE145" s="23"/>
      <c r="AF145" s="23"/>
      <c r="AG145" s="23"/>
      <c r="AH145" s="23"/>
      <c r="AI145" s="103"/>
      <c r="AJ145" s="23"/>
      <c r="AK145" s="23"/>
      <c r="AL145" s="10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103"/>
      <c r="BA145" s="23"/>
      <c r="BB145" s="17"/>
      <c r="BC145" s="23"/>
      <c r="BD145" s="23"/>
      <c r="BE145" s="23"/>
      <c r="BF145" s="23"/>
      <c r="BG145" s="23"/>
    </row>
    <row r="146" spans="5:59">
      <c r="E146" s="23"/>
      <c r="F146" s="23"/>
      <c r="G146" s="23"/>
      <c r="H146" s="23"/>
      <c r="I146" s="23"/>
      <c r="J146" s="23"/>
      <c r="K146" s="23"/>
      <c r="L146" s="10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104"/>
      <c r="AD146" s="23"/>
      <c r="AE146" s="23"/>
      <c r="AF146" s="23"/>
      <c r="AG146" s="23"/>
      <c r="AH146" s="23"/>
      <c r="AI146" s="103"/>
      <c r="AJ146" s="23"/>
      <c r="AK146" s="23"/>
      <c r="AL146" s="10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103"/>
      <c r="BA146" s="23"/>
      <c r="BB146" s="17"/>
      <c r="BC146" s="23"/>
      <c r="BD146" s="23"/>
      <c r="BE146" s="23"/>
      <c r="BF146" s="23"/>
      <c r="BG146" s="23"/>
    </row>
    <row r="147" spans="5:59">
      <c r="E147" s="23"/>
      <c r="F147" s="23"/>
      <c r="G147" s="23"/>
      <c r="H147" s="23"/>
      <c r="I147" s="23"/>
      <c r="J147" s="23"/>
      <c r="K147" s="23"/>
      <c r="L147" s="10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104"/>
      <c r="AD147" s="23"/>
      <c r="AE147" s="23"/>
      <c r="AF147" s="23"/>
      <c r="AG147" s="23"/>
      <c r="AH147" s="23"/>
      <c r="AI147" s="103"/>
      <c r="AJ147" s="23"/>
      <c r="AK147" s="23"/>
      <c r="AL147" s="10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103"/>
      <c r="BA147" s="23"/>
      <c r="BB147" s="17"/>
      <c r="BC147" s="23"/>
      <c r="BD147" s="23"/>
      <c r="BE147" s="23"/>
      <c r="BF147" s="23"/>
      <c r="BG147" s="23"/>
    </row>
    <row r="148" spans="5:59">
      <c r="E148" s="23"/>
      <c r="F148" s="23"/>
      <c r="G148" s="23"/>
      <c r="H148" s="23"/>
      <c r="I148" s="23"/>
      <c r="J148" s="23"/>
      <c r="K148" s="23"/>
      <c r="L148" s="10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104"/>
      <c r="AD148" s="23"/>
      <c r="AE148" s="23"/>
      <c r="AF148" s="23"/>
      <c r="AG148" s="23"/>
      <c r="AH148" s="23"/>
      <c r="AI148" s="103"/>
      <c r="AJ148" s="23"/>
      <c r="AK148" s="23"/>
      <c r="AL148" s="10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103"/>
      <c r="BA148" s="23"/>
      <c r="BB148" s="17"/>
      <c r="BC148" s="23"/>
      <c r="BD148" s="23"/>
      <c r="BE148" s="23"/>
      <c r="BF148" s="23"/>
      <c r="BG148" s="23"/>
    </row>
    <row r="149" spans="5:59">
      <c r="E149" s="23"/>
      <c r="F149" s="23"/>
      <c r="G149" s="23"/>
      <c r="H149" s="23"/>
      <c r="I149" s="23"/>
      <c r="J149" s="23"/>
      <c r="K149" s="23"/>
      <c r="L149" s="10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104"/>
      <c r="AD149" s="23"/>
      <c r="AE149" s="23"/>
      <c r="AF149" s="23"/>
      <c r="AG149" s="23"/>
      <c r="AH149" s="23"/>
      <c r="AI149" s="103"/>
      <c r="AJ149" s="23"/>
      <c r="AK149" s="23"/>
      <c r="AL149" s="10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103"/>
      <c r="BA149" s="23"/>
      <c r="BB149" s="17"/>
      <c r="BC149" s="23"/>
      <c r="BD149" s="23"/>
      <c r="BE149" s="23"/>
      <c r="BF149" s="23"/>
      <c r="BG149" s="23"/>
    </row>
    <row r="150" spans="5:59">
      <c r="E150" s="23"/>
      <c r="F150" s="23"/>
      <c r="G150" s="23"/>
      <c r="H150" s="23"/>
      <c r="I150" s="23"/>
      <c r="J150" s="23"/>
      <c r="K150" s="23"/>
      <c r="L150" s="10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104"/>
      <c r="AD150" s="23"/>
      <c r="AE150" s="23"/>
      <c r="AF150" s="23"/>
      <c r="AG150" s="23"/>
      <c r="AH150" s="23"/>
      <c r="AI150" s="103"/>
      <c r="AJ150" s="23"/>
      <c r="AK150" s="23"/>
      <c r="AL150" s="10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103"/>
      <c r="BA150" s="23"/>
      <c r="BB150" s="17"/>
      <c r="BC150" s="23"/>
      <c r="BD150" s="23"/>
      <c r="BE150" s="23"/>
      <c r="BF150" s="23"/>
      <c r="BG150" s="23"/>
    </row>
    <row r="151" spans="5:59">
      <c r="E151" s="23"/>
      <c r="F151" s="23"/>
      <c r="G151" s="23"/>
      <c r="H151" s="23"/>
      <c r="I151" s="23"/>
      <c r="J151" s="23"/>
      <c r="K151" s="23"/>
      <c r="L151" s="10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104"/>
      <c r="AD151" s="23"/>
      <c r="AE151" s="23"/>
      <c r="AF151" s="23"/>
      <c r="AG151" s="23"/>
      <c r="AH151" s="23"/>
      <c r="AI151" s="103"/>
      <c r="AJ151" s="23"/>
      <c r="AK151" s="23"/>
      <c r="AL151" s="10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103"/>
      <c r="BA151" s="23"/>
      <c r="BB151" s="17"/>
      <c r="BC151" s="23"/>
      <c r="BD151" s="23"/>
      <c r="BE151" s="23"/>
      <c r="BF151" s="23"/>
      <c r="BG151" s="23"/>
    </row>
    <row r="152" spans="5:59">
      <c r="E152" s="23"/>
      <c r="F152" s="23"/>
      <c r="G152" s="23"/>
      <c r="H152" s="23"/>
      <c r="I152" s="23"/>
      <c r="J152" s="23"/>
      <c r="K152" s="23"/>
      <c r="L152" s="10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104"/>
      <c r="AD152" s="23"/>
      <c r="AE152" s="23"/>
      <c r="AF152" s="23"/>
      <c r="AG152" s="23"/>
      <c r="AH152" s="23"/>
      <c r="AI152" s="103"/>
      <c r="AJ152" s="23"/>
      <c r="AK152" s="23"/>
      <c r="AL152" s="10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103"/>
      <c r="BA152" s="23"/>
      <c r="BB152" s="17"/>
      <c r="BC152" s="23"/>
      <c r="BD152" s="23"/>
      <c r="BE152" s="23"/>
      <c r="BF152" s="23"/>
      <c r="BG152" s="23"/>
    </row>
    <row r="153" spans="5:59">
      <c r="E153" s="23"/>
      <c r="F153" s="23"/>
      <c r="G153" s="23"/>
      <c r="H153" s="23"/>
      <c r="I153" s="23"/>
      <c r="J153" s="23"/>
      <c r="K153" s="23"/>
      <c r="L153" s="10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104"/>
      <c r="AD153" s="23"/>
      <c r="AE153" s="23"/>
      <c r="AF153" s="23"/>
      <c r="AG153" s="23"/>
      <c r="AH153" s="23"/>
      <c r="AI153" s="103"/>
      <c r="AJ153" s="23"/>
      <c r="AK153" s="23"/>
      <c r="AL153" s="10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103"/>
      <c r="BA153" s="23"/>
      <c r="BB153" s="17"/>
      <c r="BC153" s="23"/>
      <c r="BD153" s="23"/>
      <c r="BE153" s="23"/>
      <c r="BF153" s="23"/>
      <c r="BG153" s="23"/>
    </row>
    <row r="154" spans="5:59">
      <c r="E154" s="23"/>
      <c r="F154" s="23"/>
      <c r="G154" s="23"/>
      <c r="H154" s="23"/>
      <c r="I154" s="23"/>
      <c r="J154" s="23"/>
      <c r="K154" s="23"/>
      <c r="L154" s="10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104"/>
      <c r="AD154" s="23"/>
      <c r="AE154" s="23"/>
      <c r="AF154" s="23"/>
      <c r="AG154" s="23"/>
      <c r="AH154" s="23"/>
      <c r="AI154" s="103"/>
      <c r="AJ154" s="23"/>
      <c r="AK154" s="23"/>
      <c r="AL154" s="10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103"/>
      <c r="BA154" s="23"/>
      <c r="BB154" s="17"/>
      <c r="BC154" s="23"/>
      <c r="BD154" s="23"/>
      <c r="BE154" s="23"/>
      <c r="BF154" s="23"/>
      <c r="BG154" s="23"/>
    </row>
    <row r="155" spans="5:59">
      <c r="E155" s="23"/>
      <c r="F155" s="23"/>
      <c r="G155" s="23"/>
      <c r="H155" s="23"/>
      <c r="I155" s="23"/>
      <c r="J155" s="23"/>
      <c r="K155" s="23"/>
      <c r="L155" s="10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104"/>
      <c r="AD155" s="23"/>
      <c r="AE155" s="23"/>
      <c r="AF155" s="23"/>
      <c r="AG155" s="23"/>
      <c r="AH155" s="23"/>
      <c r="AI155" s="103"/>
      <c r="AJ155" s="23"/>
      <c r="AK155" s="23"/>
      <c r="AL155" s="10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103"/>
      <c r="BA155" s="23"/>
      <c r="BB155" s="17"/>
      <c r="BC155" s="23"/>
      <c r="BD155" s="23"/>
      <c r="BE155" s="23"/>
      <c r="BF155" s="23"/>
      <c r="BG155" s="23"/>
    </row>
    <row r="156" spans="5:59">
      <c r="E156" s="23"/>
      <c r="F156" s="23"/>
      <c r="G156" s="23"/>
      <c r="H156" s="23"/>
      <c r="I156" s="23"/>
      <c r="J156" s="23"/>
      <c r="K156" s="23"/>
      <c r="L156" s="10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104"/>
      <c r="AD156" s="23"/>
      <c r="AE156" s="23"/>
      <c r="AF156" s="23"/>
      <c r="AG156" s="23"/>
      <c r="AH156" s="23"/>
      <c r="AI156" s="103"/>
      <c r="AJ156" s="23"/>
      <c r="AK156" s="23"/>
      <c r="AL156" s="10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103"/>
      <c r="BA156" s="23"/>
      <c r="BB156" s="17"/>
      <c r="BC156" s="23"/>
      <c r="BD156" s="23"/>
      <c r="BE156" s="23"/>
      <c r="BF156" s="23"/>
      <c r="BG156" s="23"/>
    </row>
    <row r="157" spans="5:59">
      <c r="E157" s="23"/>
      <c r="F157" s="23"/>
      <c r="G157" s="23"/>
      <c r="H157" s="23"/>
      <c r="I157" s="23"/>
      <c r="J157" s="23"/>
      <c r="K157" s="23"/>
      <c r="L157" s="10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104"/>
      <c r="AD157" s="23"/>
      <c r="AE157" s="23"/>
      <c r="AF157" s="23"/>
      <c r="AG157" s="23"/>
      <c r="AH157" s="23"/>
      <c r="AI157" s="103"/>
      <c r="AJ157" s="23"/>
      <c r="AK157" s="23"/>
      <c r="AL157" s="10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103"/>
      <c r="BA157" s="23"/>
      <c r="BB157" s="17"/>
      <c r="BC157" s="23"/>
      <c r="BD157" s="23"/>
      <c r="BE157" s="23"/>
      <c r="BF157" s="23"/>
      <c r="BG157" s="23"/>
    </row>
    <row r="158" spans="5:59">
      <c r="E158" s="23"/>
      <c r="F158" s="23"/>
      <c r="G158" s="23"/>
      <c r="H158" s="23"/>
      <c r="I158" s="23"/>
      <c r="J158" s="23"/>
      <c r="K158" s="23"/>
      <c r="L158" s="10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104"/>
      <c r="AD158" s="23"/>
      <c r="AE158" s="23"/>
      <c r="AF158" s="23"/>
      <c r="AG158" s="23"/>
      <c r="AH158" s="23"/>
      <c r="AI158" s="103"/>
      <c r="AJ158" s="23"/>
      <c r="AK158" s="23"/>
      <c r="AL158" s="10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103"/>
      <c r="BA158" s="23"/>
      <c r="BB158" s="17"/>
      <c r="BC158" s="23"/>
      <c r="BD158" s="23"/>
      <c r="BE158" s="23"/>
      <c r="BF158" s="23"/>
      <c r="BG158" s="23"/>
    </row>
    <row r="159" spans="5:59">
      <c r="E159" s="23"/>
      <c r="F159" s="23"/>
      <c r="G159" s="23"/>
      <c r="H159" s="23"/>
      <c r="I159" s="23"/>
      <c r="J159" s="23"/>
      <c r="K159" s="23"/>
      <c r="L159" s="10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104"/>
      <c r="AD159" s="23"/>
      <c r="AE159" s="23"/>
      <c r="AF159" s="23"/>
      <c r="AG159" s="23"/>
      <c r="AH159" s="23"/>
      <c r="AI159" s="103"/>
      <c r="AJ159" s="23"/>
      <c r="AK159" s="23"/>
      <c r="AL159" s="10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103"/>
      <c r="BA159" s="23"/>
      <c r="BB159" s="17"/>
      <c r="BC159" s="23"/>
      <c r="BD159" s="23"/>
      <c r="BE159" s="23"/>
      <c r="BF159" s="23"/>
      <c r="BG159" s="23"/>
    </row>
    <row r="160" spans="5:59">
      <c r="E160" s="23"/>
      <c r="F160" s="23"/>
      <c r="G160" s="23"/>
      <c r="H160" s="23"/>
      <c r="I160" s="23"/>
      <c r="J160" s="23"/>
      <c r="K160" s="23"/>
      <c r="L160" s="10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104"/>
      <c r="AD160" s="23"/>
      <c r="AE160" s="23"/>
      <c r="AF160" s="23"/>
      <c r="AG160" s="23"/>
      <c r="AH160" s="23"/>
      <c r="AI160" s="103"/>
      <c r="AJ160" s="23"/>
      <c r="AK160" s="23"/>
      <c r="AL160" s="10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103"/>
      <c r="BA160" s="23"/>
      <c r="BB160" s="17"/>
      <c r="BC160" s="23"/>
      <c r="BD160" s="23"/>
      <c r="BE160" s="23"/>
      <c r="BF160" s="23"/>
      <c r="BG160" s="23"/>
    </row>
    <row r="161" spans="5:59">
      <c r="E161" s="23"/>
      <c r="F161" s="23"/>
      <c r="G161" s="23"/>
      <c r="H161" s="23"/>
      <c r="I161" s="23"/>
      <c r="J161" s="23"/>
      <c r="K161" s="23"/>
      <c r="L161" s="10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104"/>
      <c r="AD161" s="23"/>
      <c r="AE161" s="23"/>
      <c r="AF161" s="23"/>
      <c r="AG161" s="23"/>
      <c r="AH161" s="23"/>
      <c r="AI161" s="103"/>
      <c r="AJ161" s="23"/>
      <c r="AK161" s="23"/>
      <c r="AL161" s="10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103"/>
      <c r="BA161" s="23"/>
      <c r="BB161" s="17"/>
      <c r="BC161" s="23"/>
      <c r="BD161" s="23"/>
      <c r="BE161" s="23"/>
      <c r="BF161" s="23"/>
      <c r="BG161" s="23"/>
    </row>
    <row r="162" spans="5:59">
      <c r="E162" s="23"/>
      <c r="F162" s="23"/>
      <c r="G162" s="23"/>
      <c r="H162" s="23"/>
      <c r="I162" s="23"/>
      <c r="J162" s="23"/>
      <c r="K162" s="23"/>
      <c r="L162" s="10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104"/>
      <c r="AD162" s="23"/>
      <c r="AE162" s="23"/>
      <c r="AF162" s="23"/>
      <c r="AG162" s="23"/>
      <c r="AH162" s="23"/>
      <c r="AI162" s="103"/>
      <c r="AJ162" s="23"/>
      <c r="AK162" s="23"/>
      <c r="AL162" s="10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103"/>
      <c r="BA162" s="23"/>
      <c r="BB162" s="17"/>
      <c r="BC162" s="23"/>
      <c r="BD162" s="23"/>
      <c r="BE162" s="23"/>
      <c r="BF162" s="23"/>
      <c r="BG162" s="23"/>
    </row>
    <row r="163" spans="5:59">
      <c r="E163" s="23"/>
      <c r="F163" s="23"/>
      <c r="G163" s="23"/>
      <c r="H163" s="23"/>
      <c r="I163" s="23"/>
      <c r="J163" s="23"/>
      <c r="K163" s="23"/>
      <c r="L163" s="10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104"/>
      <c r="AD163" s="23"/>
      <c r="AE163" s="23"/>
      <c r="AF163" s="23"/>
      <c r="AG163" s="23"/>
      <c r="AH163" s="23"/>
      <c r="AI163" s="103"/>
      <c r="AJ163" s="23"/>
      <c r="AK163" s="23"/>
      <c r="AL163" s="10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103"/>
      <c r="BA163" s="23"/>
      <c r="BB163" s="17"/>
      <c r="BC163" s="23"/>
      <c r="BD163" s="23"/>
      <c r="BE163" s="23"/>
      <c r="BF163" s="23"/>
      <c r="BG163" s="23"/>
    </row>
    <row r="164" spans="5:59">
      <c r="E164" s="23"/>
      <c r="F164" s="23"/>
      <c r="G164" s="23"/>
      <c r="H164" s="23"/>
      <c r="I164" s="23"/>
      <c r="J164" s="23"/>
      <c r="K164" s="23"/>
      <c r="L164" s="10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104"/>
      <c r="AD164" s="23"/>
      <c r="AE164" s="23"/>
      <c r="AF164" s="23"/>
      <c r="AG164" s="23"/>
      <c r="AH164" s="23"/>
      <c r="AI164" s="103"/>
      <c r="AJ164" s="23"/>
      <c r="AK164" s="23"/>
      <c r="AL164" s="10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103"/>
      <c r="BA164" s="23"/>
      <c r="BB164" s="17"/>
      <c r="BC164" s="23"/>
      <c r="BD164" s="23"/>
      <c r="BE164" s="23"/>
      <c r="BF164" s="23"/>
      <c r="BG164" s="23"/>
    </row>
    <row r="165" spans="5:59">
      <c r="E165" s="23"/>
      <c r="F165" s="23"/>
      <c r="G165" s="23"/>
      <c r="H165" s="23"/>
      <c r="I165" s="23"/>
      <c r="J165" s="23"/>
      <c r="K165" s="23"/>
      <c r="L165" s="10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104"/>
      <c r="AD165" s="23"/>
      <c r="AE165" s="23"/>
      <c r="AF165" s="23"/>
      <c r="AG165" s="23"/>
      <c r="AH165" s="23"/>
      <c r="AI165" s="103"/>
      <c r="AJ165" s="23"/>
      <c r="AK165" s="23"/>
      <c r="AL165" s="10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103"/>
      <c r="BA165" s="23"/>
      <c r="BB165" s="17"/>
      <c r="BC165" s="23"/>
      <c r="BD165" s="23"/>
      <c r="BE165" s="23"/>
      <c r="BF165" s="23"/>
      <c r="BG165" s="23"/>
    </row>
    <row r="166" spans="5:59">
      <c r="E166" s="23"/>
      <c r="F166" s="23"/>
      <c r="G166" s="23"/>
      <c r="H166" s="23"/>
      <c r="I166" s="23"/>
      <c r="J166" s="23"/>
      <c r="K166" s="23"/>
      <c r="L166" s="10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104"/>
      <c r="AD166" s="23"/>
      <c r="AE166" s="23"/>
      <c r="AF166" s="23"/>
      <c r="AG166" s="23"/>
      <c r="AH166" s="23"/>
      <c r="AI166" s="103"/>
      <c r="AJ166" s="23"/>
      <c r="AK166" s="23"/>
      <c r="AL166" s="10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103"/>
      <c r="BA166" s="23"/>
      <c r="BB166" s="17"/>
      <c r="BC166" s="23"/>
      <c r="BD166" s="23"/>
      <c r="BE166" s="23"/>
      <c r="BF166" s="23"/>
      <c r="BG166" s="23"/>
    </row>
    <row r="167" spans="5:59">
      <c r="E167" s="23"/>
      <c r="F167" s="23"/>
      <c r="G167" s="23"/>
      <c r="H167" s="23"/>
      <c r="I167" s="23"/>
      <c r="J167" s="23"/>
      <c r="K167" s="23"/>
      <c r="L167" s="10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104"/>
      <c r="AD167" s="23"/>
      <c r="AE167" s="23"/>
      <c r="AF167" s="23"/>
      <c r="AG167" s="23"/>
      <c r="AH167" s="23"/>
      <c r="AI167" s="103"/>
      <c r="AJ167" s="23"/>
      <c r="AK167" s="23"/>
      <c r="AL167" s="10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103"/>
      <c r="BA167" s="23"/>
      <c r="BB167" s="17"/>
      <c r="BC167" s="23"/>
      <c r="BD167" s="23"/>
      <c r="BE167" s="23"/>
      <c r="BF167" s="23"/>
      <c r="BG167" s="23"/>
    </row>
    <row r="168" spans="5:59">
      <c r="E168" s="23"/>
      <c r="F168" s="23"/>
      <c r="G168" s="23"/>
      <c r="H168" s="23"/>
      <c r="I168" s="23"/>
      <c r="J168" s="23"/>
      <c r="K168" s="23"/>
      <c r="L168" s="10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104"/>
      <c r="AD168" s="23"/>
      <c r="AE168" s="23"/>
      <c r="AF168" s="23"/>
      <c r="AG168" s="23"/>
      <c r="AH168" s="23"/>
      <c r="AI168" s="103"/>
      <c r="AJ168" s="23"/>
      <c r="AK168" s="23"/>
      <c r="AL168" s="10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103"/>
      <c r="BA168" s="23"/>
      <c r="BB168" s="17"/>
      <c r="BC168" s="23"/>
      <c r="BD168" s="23"/>
      <c r="BE168" s="23"/>
      <c r="BF168" s="23"/>
      <c r="BG168" s="23"/>
    </row>
    <row r="169" spans="5:59">
      <c r="E169" s="23"/>
      <c r="F169" s="23"/>
      <c r="G169" s="23"/>
      <c r="H169" s="23"/>
      <c r="I169" s="23"/>
      <c r="J169" s="23"/>
      <c r="K169" s="23"/>
      <c r="L169" s="10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104"/>
      <c r="AD169" s="23"/>
      <c r="AE169" s="23"/>
      <c r="AF169" s="23"/>
      <c r="AG169" s="23"/>
      <c r="AH169" s="23"/>
      <c r="AI169" s="103"/>
      <c r="AJ169" s="23"/>
      <c r="AK169" s="23"/>
      <c r="AL169" s="10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103"/>
      <c r="BA169" s="23"/>
      <c r="BB169" s="17"/>
      <c r="BC169" s="23"/>
      <c r="BD169" s="23"/>
      <c r="BE169" s="23"/>
      <c r="BF169" s="23"/>
      <c r="BG169" s="23"/>
    </row>
    <row r="170" spans="5:59">
      <c r="E170" s="23"/>
      <c r="F170" s="23"/>
      <c r="G170" s="23"/>
      <c r="H170" s="23"/>
      <c r="I170" s="23"/>
      <c r="J170" s="23"/>
      <c r="K170" s="23"/>
      <c r="L170" s="10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104"/>
      <c r="AD170" s="23"/>
      <c r="AE170" s="23"/>
      <c r="AF170" s="23"/>
      <c r="AG170" s="23"/>
      <c r="AH170" s="23"/>
      <c r="AI170" s="103"/>
      <c r="AJ170" s="23"/>
      <c r="AK170" s="23"/>
      <c r="AL170" s="10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103"/>
      <c r="BA170" s="23"/>
      <c r="BB170" s="17"/>
      <c r="BC170" s="23"/>
      <c r="BD170" s="23"/>
      <c r="BE170" s="23"/>
      <c r="BF170" s="23"/>
      <c r="BG170" s="23"/>
    </row>
    <row r="171" spans="5:59">
      <c r="E171" s="23"/>
      <c r="F171" s="23"/>
      <c r="G171" s="23"/>
      <c r="H171" s="23"/>
      <c r="I171" s="23"/>
      <c r="J171" s="23"/>
      <c r="K171" s="23"/>
      <c r="L171" s="10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104"/>
      <c r="AD171" s="23"/>
      <c r="AE171" s="23"/>
      <c r="AF171" s="23"/>
      <c r="AG171" s="23"/>
      <c r="AH171" s="23"/>
      <c r="AI171" s="103"/>
      <c r="AJ171" s="23"/>
      <c r="AK171" s="23"/>
      <c r="AL171" s="10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103"/>
      <c r="BA171" s="23"/>
      <c r="BB171" s="17"/>
      <c r="BC171" s="23"/>
      <c r="BD171" s="23"/>
      <c r="BE171" s="23"/>
      <c r="BF171" s="23"/>
      <c r="BG171" s="23"/>
    </row>
    <row r="172" spans="5:59">
      <c r="E172" s="23"/>
      <c r="F172" s="23"/>
      <c r="G172" s="23"/>
      <c r="H172" s="23"/>
      <c r="I172" s="23"/>
      <c r="J172" s="23"/>
      <c r="K172" s="23"/>
      <c r="L172" s="10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104"/>
      <c r="AD172" s="23"/>
      <c r="AE172" s="23"/>
      <c r="AF172" s="23"/>
      <c r="AG172" s="23"/>
      <c r="AH172" s="23"/>
      <c r="AI172" s="103"/>
      <c r="AJ172" s="23"/>
      <c r="AK172" s="23"/>
      <c r="AL172" s="10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103"/>
      <c r="BA172" s="23"/>
      <c r="BB172" s="17"/>
      <c r="BC172" s="23"/>
      <c r="BD172" s="23"/>
      <c r="BE172" s="23"/>
      <c r="BF172" s="23"/>
      <c r="BG172" s="23"/>
    </row>
    <row r="173" spans="5:59">
      <c r="E173" s="23"/>
      <c r="F173" s="23"/>
      <c r="G173" s="23"/>
      <c r="H173" s="23"/>
      <c r="I173" s="23"/>
      <c r="J173" s="23"/>
      <c r="K173" s="23"/>
      <c r="L173" s="10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104"/>
      <c r="AD173" s="23"/>
      <c r="AE173" s="23"/>
      <c r="AF173" s="23"/>
      <c r="AG173" s="23"/>
      <c r="AH173" s="23"/>
      <c r="AI173" s="103"/>
      <c r="AJ173" s="23"/>
      <c r="AK173" s="23"/>
      <c r="AL173" s="10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103"/>
      <c r="BA173" s="23"/>
      <c r="BB173" s="17"/>
      <c r="BC173" s="23"/>
      <c r="BD173" s="23"/>
      <c r="BE173" s="23"/>
      <c r="BF173" s="23"/>
      <c r="BG173" s="23"/>
    </row>
  </sheetData>
  <phoneticPr fontId="0" type="noConversion"/>
  <printOptions gridLines="1"/>
  <pageMargins left="0.2" right="0.2" top="0.26" bottom="0.43" header="0.17" footer="0.17"/>
  <pageSetup scale="76" fitToWidth="15" orientation="portrait" horizontalDpi="300" verticalDpi="300" r:id="rId1"/>
  <headerFooter alignWithMargins="0">
    <oddFooter>&amp;L&amp;D&amp;CPage &amp;P of &amp;N&amp;R&amp;A
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5E0C22CAA1144796BD58074F09B00D" ma:contentTypeVersion="0" ma:contentTypeDescription="Create a new document." ma:contentTypeScope="" ma:versionID="33aaf7a123b0aad78b969cdae52b74b1">
  <xsd:schema xmlns:xsd="http://www.w3.org/2001/XMLSchema" xmlns:xs="http://www.w3.org/2001/XMLSchema" xmlns:p="http://schemas.microsoft.com/office/2006/metadata/properties" xmlns:ns2="8deaf124-b6c3-4cdf-8853-9889215b15dc" targetNamespace="http://schemas.microsoft.com/office/2006/metadata/properties" ma:root="true" ma:fieldsID="62c34757b3e4b96d42c983cccbcf0b37" ns2:_="">
    <xsd:import namespace="8deaf124-b6c3-4cdf-8853-9889215b15dc"/>
    <xsd:element name="properties">
      <xsd:complexType>
        <xsd:sequence>
          <xsd:element name="documentManagement">
            <xsd:complexType>
              <xsd:all>
                <xsd:element ref="ns2:o10fb58b6f1b4237af11b5fc8dde9845" minOccurs="0"/>
                <xsd:element ref="ns2:TaxCatchAll" minOccurs="0"/>
                <xsd:element ref="ns2:TaxCatchAllLabel" minOccurs="0"/>
                <xsd:element ref="ns2:de41ccc7d4784b11bfed8e20bf75ca01" minOccurs="0"/>
                <xsd:element ref="ns2:i7c492e22f6d4edeb2075ae5873ec9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af124-b6c3-4cdf-8853-9889215b15dc" elementFormDefault="qualified">
    <xsd:import namespace="http://schemas.microsoft.com/office/2006/documentManagement/types"/>
    <xsd:import namespace="http://schemas.microsoft.com/office/infopath/2007/PartnerControls"/>
    <xsd:element name="o10fb58b6f1b4237af11b5fc8dde9845" ma:index="8" nillable="true" ma:taxonomy="true" ma:internalName="o10fb58b6f1b4237af11b5fc8dde9845" ma:taxonomyFieldName="Center_x0020_Keywords" ma:displayName="Center Keywords" ma:default="" ma:fieldId="{810fb58b-6f1b-4237-af11-b5fc8dde9845}" ma:taxonomyMulti="true" ma:sspId="c33b9d63-b2b8-4e14-927a-26baaa9e7d46" ma:termSetId="07784249-18e1-42a3-b8c4-80cc2e61d7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539836eb-73d5-4e70-89f8-2b619bedc4ec}" ma:internalName="TaxCatchAll" ma:showField="CatchAllData" ma:web="8deaf124-b6c3-4cdf-8853-9889215b15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539836eb-73d5-4e70-89f8-2b619bedc4ec}" ma:internalName="TaxCatchAllLabel" ma:readOnly="true" ma:showField="CatchAllDataLabel" ma:web="8deaf124-b6c3-4cdf-8853-9889215b15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41ccc7d4784b11bfed8e20bf75ca01" ma:index="12" nillable="true" ma:taxonomy="true" ma:internalName="de41ccc7d4784b11bfed8e20bf75ca01" ma:taxonomyFieldName="Focus_x0020_Areas" ma:displayName="Focus Areas" ma:default="" ma:fieldId="{de41ccc7-d478-4b11-bfed-8e20bf75ca01}" ma:taxonomyMulti="true" ma:sspId="c33b9d63-b2b8-4e14-927a-26baaa9e7d46" ma:termSetId="dd637fa2-13de-409b-afce-e50c3bf2b1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c492e22f6d4edeb2075ae5873ec95b" ma:index="14" ma:taxonomy="true" ma:internalName="i7c492e22f6d4edeb2075ae5873ec95b" ma:taxonomyFieldName="Programs" ma:displayName="Programs" ma:default="" ma:fieldId="{27c492e2-2f6d-4ede-b207-5ae5873ec95b}" ma:taxonomyMulti="true" ma:sspId="c33b9d63-b2b8-4e14-927a-26baaa9e7d46" ma:termSetId="f23c33e0-98b5-48db-932d-8d954eda2d2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eaf124-b6c3-4cdf-8853-9889215b15dc">
      <Value>10</Value>
    </TaxCatchAll>
    <de41ccc7d4784b11bfed8e20bf75ca01 xmlns="8deaf124-b6c3-4cdf-8853-9889215b15dc">
      <Terms xmlns="http://schemas.microsoft.com/office/infopath/2007/PartnerControls"/>
    </de41ccc7d4784b11bfed8e20bf75ca01>
    <i7c492e22f6d4edeb2075ae5873ec95b xmlns="8deaf124-b6c3-4cdf-8853-9889215b15d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RHPI</TermName>
          <TermId xmlns="http://schemas.microsoft.com/office/infopath/2007/PartnerControls">12a3fa2a-4274-4462-b1a8-7368adae5780</TermId>
        </TermInfo>
      </Terms>
    </i7c492e22f6d4edeb2075ae5873ec95b>
    <o10fb58b6f1b4237af11b5fc8dde9845 xmlns="8deaf124-b6c3-4cdf-8853-9889215b15dc">
      <Terms xmlns="http://schemas.microsoft.com/office/infopath/2007/PartnerControls"/>
    </o10fb58b6f1b4237af11b5fc8dde9845>
  </documentManagement>
</p:properties>
</file>

<file path=customXml/itemProps1.xml><?xml version="1.0" encoding="utf-8"?>
<ds:datastoreItem xmlns:ds="http://schemas.openxmlformats.org/officeDocument/2006/customXml" ds:itemID="{D1B1614F-387E-4447-8B2B-706FD1A80B23}"/>
</file>

<file path=customXml/itemProps2.xml><?xml version="1.0" encoding="utf-8"?>
<ds:datastoreItem xmlns:ds="http://schemas.openxmlformats.org/officeDocument/2006/customXml" ds:itemID="{6E809E84-1C13-45EC-BF8F-2182428E222D}"/>
</file>

<file path=customXml/itemProps3.xml><?xml version="1.0" encoding="utf-8"?>
<ds:datastoreItem xmlns:ds="http://schemas.openxmlformats.org/officeDocument/2006/customXml" ds:itemID="{A481FBC0-ACF4-47AA-BE9E-BF478B172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Income Statement - Summary</vt:lpstr>
      <vt:lpstr>Department Detail</vt:lpstr>
      <vt:lpstr>'Department Detail'!Print_Area</vt:lpstr>
      <vt:lpstr>'Income Statement - Summary'!Print_Area</vt:lpstr>
      <vt:lpstr>'Department Detail'!Print_Titles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mbewley</dc:creator>
  <cp:lastModifiedBy>lquinn</cp:lastModifiedBy>
  <cp:lastPrinted>2009-05-17T18:35:02Z</cp:lastPrinted>
  <dcterms:created xsi:type="dcterms:W3CDTF">2008-10-06T22:32:29Z</dcterms:created>
  <dcterms:modified xsi:type="dcterms:W3CDTF">2011-11-07T17:20:30Z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0x010100775E0C22CAA1144796BD58074F09B00D</vt:lpwstr>
  </property>
  <property fmtid="{D5CDD505-2E9C-101B-9397-08002B2CF9AE}" pid="3" name="Center Keywords">
    <vt:lpwstr/>
  </property>
  <property fmtid="{D5CDD505-2E9C-101B-9397-08002B2CF9AE}" pid="4" name="Programs">
    <vt:lpwstr>10;#RHPI|12a3fa2a-4274-4462-b1a8-7368adae5780</vt:lpwstr>
  </property>
  <property fmtid="{D5CDD505-2E9C-101B-9397-08002B2CF9AE}" pid="5" name="Focus Areas">
    <vt:lpwstr/>
  </property>
</Properties>
</file>