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charts/chart20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9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worksheets/sheet1.xml" ContentType="application/vnd.openxmlformats-officedocument.spreadsheetml.workshee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worksheets/sheet7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worksheets/sheet4.xml" ContentType="application/vnd.openxmlformats-officedocument.spreadsheetml.workshee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5" windowWidth="7560" windowHeight="4470" tabRatio="611"/>
  </bookViews>
  <sheets>
    <sheet name="Inc Stmt" sheetId="45" r:id="rId1"/>
    <sheet name="Balance Sheet" sheetId="44" r:id="rId2"/>
    <sheet name="Graphs" sheetId="43" state="hidden" r:id="rId3"/>
    <sheet name="Bad Debt" sheetId="42" state="hidden" r:id="rId4"/>
    <sheet name="Admissions" sheetId="1" state="hidden" r:id="rId5"/>
    <sheet name="Patient Days" sheetId="2" state="hidden" r:id="rId6"/>
    <sheet name="Adjusted Pt days" sheetId="40" state="hidden" r:id="rId7"/>
    <sheet name="Surgeries" sheetId="7" state="hidden" r:id="rId8"/>
    <sheet name="ER Visits" sheetId="6" state="hidden" r:id="rId9"/>
    <sheet name="Sal % Net Rev" sheetId="13" state="hidden" r:id="rId10"/>
    <sheet name="Salary reduction" sheetId="14" state="hidden" r:id="rId11"/>
    <sheet name="Supply Reductions" sheetId="15" state="hidden" r:id="rId12"/>
    <sheet name="Days in AR gross" sheetId="41" state="hidden" r:id="rId13"/>
  </sheets>
  <definedNames>
    <definedName name="_xlnm.Print_Area" localSheetId="3">'Bad Debt'!$A$1:$G$30</definedName>
    <definedName name="_xlnm.Print_Area" localSheetId="1">'Balance Sheet'!$A$1:$I$52</definedName>
    <definedName name="_xlnm.Print_Area" localSheetId="12">'Days in AR gross'!$A$47:$C$59</definedName>
    <definedName name="_xlnm.Print_Area" localSheetId="0">'Inc Stmt'!$A$1:$Q$84</definedName>
    <definedName name="_xlnm.Print_Area" localSheetId="9">'Sal % Net Rev'!$A$33:$D$46</definedName>
    <definedName name="_xlnm.Print_Area" localSheetId="10">'Salary reduction'!$A$98:$C$148</definedName>
    <definedName name="_xlnm.Print_Area" localSheetId="11">'Supply Reductions'!$I$93:$N$109</definedName>
  </definedNames>
  <calcPr calcId="125725"/>
</workbook>
</file>

<file path=xl/calcChain.xml><?xml version="1.0" encoding="utf-8"?>
<calcChain xmlns="http://schemas.openxmlformats.org/spreadsheetml/2006/main">
  <c r="H85" i="40"/>
  <c r="H101"/>
  <c r="H16"/>
  <c r="B89" i="41"/>
  <c r="C143" i="15"/>
  <c r="C16"/>
  <c r="H81" i="13"/>
  <c r="H64"/>
  <c r="H46"/>
  <c r="D7" i="44"/>
  <c r="D13"/>
  <c r="D21"/>
  <c r="K32" i="45"/>
  <c r="K33"/>
  <c r="K34"/>
  <c r="K35"/>
  <c r="K36"/>
  <c r="K37"/>
  <c r="K38"/>
  <c r="K39"/>
  <c r="K9"/>
  <c r="O9"/>
  <c r="Q9"/>
  <c r="F178" i="41"/>
  <c r="G178"/>
  <c r="I178"/>
  <c r="C89"/>
  <c r="E24" i="42"/>
  <c r="B88" i="41"/>
  <c r="F177"/>
  <c r="G177"/>
  <c r="I177"/>
  <c r="C88"/>
  <c r="C142" i="15"/>
  <c r="C15"/>
  <c r="H80" i="13"/>
  <c r="H63"/>
  <c r="H45"/>
  <c r="H100" i="40"/>
  <c r="H84"/>
  <c r="B87" i="41"/>
  <c r="G176"/>
  <c r="I176"/>
  <c r="C87"/>
  <c r="F176"/>
  <c r="C141" i="15"/>
  <c r="C14"/>
  <c r="H79" i="13"/>
  <c r="H62"/>
  <c r="H44"/>
  <c r="H99" i="40"/>
  <c r="H83"/>
  <c r="C140" i="15"/>
  <c r="C13"/>
  <c r="H78" i="13"/>
  <c r="H43"/>
  <c r="H98" i="40"/>
  <c r="H82"/>
  <c r="D16" i="44"/>
  <c r="H7"/>
  <c r="H13"/>
  <c r="H21"/>
  <c r="H33"/>
  <c r="F175" i="41"/>
  <c r="G175"/>
  <c r="I175"/>
  <c r="C86"/>
  <c r="B86"/>
  <c r="E39" i="45"/>
  <c r="F174" i="41"/>
  <c r="H173"/>
  <c r="H174"/>
  <c r="I174"/>
  <c r="C85"/>
  <c r="G174"/>
  <c r="B85"/>
  <c r="C139" i="15"/>
  <c r="C12"/>
  <c r="H77" i="13"/>
  <c r="H59"/>
  <c r="H42"/>
  <c r="H97" i="40"/>
  <c r="H81"/>
  <c r="D29" i="44"/>
  <c r="D31"/>
  <c r="K52" i="45"/>
  <c r="C138" i="15"/>
  <c r="C11"/>
  <c r="H76" i="13"/>
  <c r="H41"/>
  <c r="H80" i="40"/>
  <c r="H96"/>
  <c r="H11"/>
  <c r="F173" i="41"/>
  <c r="G173"/>
  <c r="I173"/>
  <c r="C84"/>
  <c r="B84"/>
  <c r="F172"/>
  <c r="G172"/>
  <c r="I172"/>
  <c r="C83"/>
  <c r="B83"/>
  <c r="C137" i="15"/>
  <c r="C10"/>
  <c r="H58" i="13"/>
  <c r="H75"/>
  <c r="H40"/>
  <c r="H95" i="40"/>
  <c r="H79"/>
  <c r="D44" i="44"/>
  <c r="D45"/>
  <c r="D52"/>
  <c r="H16"/>
  <c r="M54" i="45"/>
  <c r="M62"/>
  <c r="M66"/>
  <c r="M67"/>
  <c r="M70"/>
  <c r="M72"/>
  <c r="I11"/>
  <c r="I19"/>
  <c r="I23"/>
  <c r="I24"/>
  <c r="I27"/>
  <c r="I29"/>
  <c r="F171" i="41"/>
  <c r="G171"/>
  <c r="I171"/>
  <c r="C82"/>
  <c r="B82"/>
  <c r="C136" i="15"/>
  <c r="C9"/>
  <c r="H74" i="13"/>
  <c r="H39"/>
  <c r="H94" i="40"/>
  <c r="H78"/>
  <c r="A54" i="45"/>
  <c r="A62"/>
  <c r="A66"/>
  <c r="A67"/>
  <c r="A70"/>
  <c r="A72"/>
  <c r="H170" i="41"/>
  <c r="F170"/>
  <c r="G170"/>
  <c r="B81"/>
  <c r="C135" i="15"/>
  <c r="C8"/>
  <c r="H56" i="13"/>
  <c r="H73"/>
  <c r="H38"/>
  <c r="H77" i="40"/>
  <c r="H93"/>
  <c r="H8"/>
  <c r="K82" i="45"/>
  <c r="K81"/>
  <c r="B80" i="41"/>
  <c r="F169"/>
  <c r="G169"/>
  <c r="I169"/>
  <c r="C80"/>
  <c r="C134" i="15"/>
  <c r="C7"/>
  <c r="H55" i="13"/>
  <c r="H72"/>
  <c r="H37"/>
  <c r="H92" i="40"/>
  <c r="H76"/>
  <c r="M23" i="45"/>
  <c r="H54" i="13"/>
  <c r="G168" i="41"/>
  <c r="F168"/>
  <c r="I168"/>
  <c r="B79"/>
  <c r="C79"/>
  <c r="C133" i="15"/>
  <c r="C6"/>
  <c r="H71" i="13"/>
  <c r="H36"/>
  <c r="H75" i="40"/>
  <c r="H91"/>
  <c r="H6"/>
  <c r="C23" i="45"/>
  <c r="F167" i="41"/>
  <c r="G167"/>
  <c r="I167"/>
  <c r="C78"/>
  <c r="B78"/>
  <c r="J132" i="15"/>
  <c r="C132"/>
  <c r="C5"/>
  <c r="H70" i="13"/>
  <c r="H53"/>
  <c r="H35"/>
  <c r="H74" i="40"/>
  <c r="H90"/>
  <c r="H5"/>
  <c r="H15"/>
  <c r="H14"/>
  <c r="H13"/>
  <c r="H12"/>
  <c r="H10"/>
  <c r="H9"/>
  <c r="H7"/>
  <c r="E38" i="45"/>
  <c r="F166" i="41"/>
  <c r="G166"/>
  <c r="I166"/>
  <c r="C77"/>
  <c r="B77"/>
  <c r="C131" i="15"/>
  <c r="D16"/>
  <c r="G81" i="13"/>
  <c r="G46"/>
  <c r="D16" i="14"/>
  <c r="C11" i="45"/>
  <c r="C19"/>
  <c r="C24"/>
  <c r="C27"/>
  <c r="C29"/>
  <c r="B76" i="41"/>
  <c r="F165"/>
  <c r="G165"/>
  <c r="I165"/>
  <c r="C76"/>
  <c r="C130" i="15"/>
  <c r="D15"/>
  <c r="G80" i="13"/>
  <c r="G63"/>
  <c r="G45"/>
  <c r="D15" i="14"/>
  <c r="K83" i="45"/>
  <c r="F164" i="41"/>
  <c r="G164"/>
  <c r="I164"/>
  <c r="C75"/>
  <c r="B75"/>
  <c r="H163"/>
  <c r="C129" i="15"/>
  <c r="D14"/>
  <c r="G79" i="13"/>
  <c r="G62"/>
  <c r="G44"/>
  <c r="D14" i="14"/>
  <c r="G36" i="40"/>
  <c r="G83"/>
  <c r="G99" s="1"/>
  <c r="G14" s="1"/>
  <c r="G37"/>
  <c r="G84"/>
  <c r="G100" s="1"/>
  <c r="G15" s="1"/>
  <c r="G38"/>
  <c r="G85" s="1"/>
  <c r="G101" s="1"/>
  <c r="C62" i="45"/>
  <c r="H162" i="41"/>
  <c r="H161"/>
  <c r="H160"/>
  <c r="I160"/>
  <c r="C71"/>
  <c r="H159"/>
  <c r="H158"/>
  <c r="H157"/>
  <c r="J161"/>
  <c r="B72"/>
  <c r="G61" i="13"/>
  <c r="F163" i="41"/>
  <c r="G163"/>
  <c r="I163"/>
  <c r="C74"/>
  <c r="F162"/>
  <c r="B74"/>
  <c r="C128" i="15"/>
  <c r="D13"/>
  <c r="G78" i="13"/>
  <c r="G43"/>
  <c r="D13" i="14"/>
  <c r="H29" i="44"/>
  <c r="H31"/>
  <c r="A11" i="45"/>
  <c r="A24"/>
  <c r="A27"/>
  <c r="A29"/>
  <c r="E29"/>
  <c r="A19"/>
  <c r="A23"/>
  <c r="K53"/>
  <c r="K54"/>
  <c r="K56"/>
  <c r="K57"/>
  <c r="K58"/>
  <c r="K59"/>
  <c r="K61"/>
  <c r="K60"/>
  <c r="K62"/>
  <c r="K64"/>
  <c r="K65"/>
  <c r="K66"/>
  <c r="K69"/>
  <c r="C54"/>
  <c r="E54"/>
  <c r="C66"/>
  <c r="C67"/>
  <c r="C70"/>
  <c r="C72"/>
  <c r="M11"/>
  <c r="M19"/>
  <c r="M24"/>
  <c r="M27"/>
  <c r="M29"/>
  <c r="K10"/>
  <c r="K11"/>
  <c r="K13"/>
  <c r="K14"/>
  <c r="K15"/>
  <c r="K16"/>
  <c r="K17"/>
  <c r="K18"/>
  <c r="K19"/>
  <c r="K21"/>
  <c r="K22"/>
  <c r="K23"/>
  <c r="K26"/>
  <c r="G72"/>
  <c r="H44" i="44"/>
  <c r="H45"/>
  <c r="H49"/>
  <c r="H52"/>
  <c r="F44"/>
  <c r="F45"/>
  <c r="F52"/>
  <c r="F47"/>
  <c r="F49"/>
  <c r="D49"/>
  <c r="F16"/>
  <c r="F21"/>
  <c r="F33"/>
  <c r="F29"/>
  <c r="F31"/>
  <c r="G162" i="41"/>
  <c r="I162"/>
  <c r="C73"/>
  <c r="F161"/>
  <c r="B73"/>
  <c r="C127" i="15"/>
  <c r="D12"/>
  <c r="G60" i="13"/>
  <c r="G77"/>
  <c r="G42"/>
  <c r="D12" i="14"/>
  <c r="C34" i="45"/>
  <c r="C126" i="15"/>
  <c r="D11"/>
  <c r="J5" i="7"/>
  <c r="K5"/>
  <c r="K4"/>
  <c r="G161" i="41"/>
  <c r="I161"/>
  <c r="C72"/>
  <c r="F160"/>
  <c r="G76" i="13"/>
  <c r="G59"/>
  <c r="G41"/>
  <c r="D11" i="14"/>
  <c r="G57" i="13"/>
  <c r="G56"/>
  <c r="G55"/>
  <c r="G54"/>
  <c r="G53"/>
  <c r="G58"/>
  <c r="B71" i="41"/>
  <c r="G160"/>
  <c r="F159"/>
  <c r="C125" i="15"/>
  <c r="D10"/>
  <c r="G75" i="13"/>
  <c r="G40"/>
  <c r="D10" i="14"/>
  <c r="G33" i="40"/>
  <c r="G80" s="1"/>
  <c r="G96" s="1"/>
  <c r="G11" s="1"/>
  <c r="E52" i="45"/>
  <c r="E53"/>
  <c r="G159" i="41"/>
  <c r="K75" i="45"/>
  <c r="C124" i="15"/>
  <c r="C123"/>
  <c r="D9"/>
  <c r="G74" i="13"/>
  <c r="G39"/>
  <c r="D9" i="14"/>
  <c r="F97" i="41"/>
  <c r="E10" i="42"/>
  <c r="B69" i="41"/>
  <c r="G73" i="13"/>
  <c r="G38"/>
  <c r="D8" i="14"/>
  <c r="G72" i="13"/>
  <c r="G37"/>
  <c r="D7" i="14"/>
  <c r="G71" i="13"/>
  <c r="G36"/>
  <c r="D6" i="14"/>
  <c r="G70" i="13"/>
  <c r="G35"/>
  <c r="D5" i="14"/>
  <c r="F74" i="13"/>
  <c r="F39"/>
  <c r="E9" i="14"/>
  <c r="G62" i="40"/>
  <c r="G46"/>
  <c r="B123" i="15"/>
  <c r="D8"/>
  <c r="B122"/>
  <c r="B121"/>
  <c r="F158" i="41"/>
  <c r="G158"/>
  <c r="Q49" i="45"/>
  <c r="O49"/>
  <c r="M49"/>
  <c r="K49"/>
  <c r="E49"/>
  <c r="C49"/>
  <c r="A49"/>
  <c r="Q6"/>
  <c r="O6"/>
  <c r="M6"/>
  <c r="K6"/>
  <c r="C6"/>
  <c r="E6"/>
  <c r="G60" i="40"/>
  <c r="G44"/>
  <c r="G35"/>
  <c r="G82" s="1"/>
  <c r="G98" s="1"/>
  <c r="G13" s="1"/>
  <c r="G34"/>
  <c r="G81" s="1"/>
  <c r="G97" s="1"/>
  <c r="G12" s="1"/>
  <c r="G32"/>
  <c r="G79" s="1"/>
  <c r="G95" s="1"/>
  <c r="G10" s="1"/>
  <c r="G31"/>
  <c r="G78" s="1"/>
  <c r="G94" s="1"/>
  <c r="G9" s="1"/>
  <c r="G30"/>
  <c r="G77" s="1"/>
  <c r="G93" s="1"/>
  <c r="G8" s="1"/>
  <c r="G6" i="2"/>
  <c r="G28" i="40"/>
  <c r="G5" i="2"/>
  <c r="G27" i="40"/>
  <c r="G43"/>
  <c r="G74"/>
  <c r="G59"/>
  <c r="G90"/>
  <c r="G7" i="2"/>
  <c r="G29" i="40"/>
  <c r="G76" s="1"/>
  <c r="G92" s="1"/>
  <c r="E6" i="2"/>
  <c r="E28" i="40"/>
  <c r="E44"/>
  <c r="E60"/>
  <c r="E5" i="2"/>
  <c r="E27" i="40"/>
  <c r="E43"/>
  <c r="E74"/>
  <c r="E90" s="1"/>
  <c r="E5" s="1"/>
  <c r="E59"/>
  <c r="F70"/>
  <c r="F69"/>
  <c r="F68"/>
  <c r="F67"/>
  <c r="F66"/>
  <c r="F65"/>
  <c r="F64"/>
  <c r="F63"/>
  <c r="F62"/>
  <c r="F61"/>
  <c r="F60"/>
  <c r="F59"/>
  <c r="E70"/>
  <c r="E69"/>
  <c r="E68"/>
  <c r="E67"/>
  <c r="E66"/>
  <c r="E64"/>
  <c r="E48"/>
  <c r="E65"/>
  <c r="E63"/>
  <c r="E62"/>
  <c r="E61"/>
  <c r="D70"/>
  <c r="D69"/>
  <c r="D68"/>
  <c r="D67"/>
  <c r="D66"/>
  <c r="D65"/>
  <c r="D64"/>
  <c r="D63"/>
  <c r="D62"/>
  <c r="D61"/>
  <c r="D60"/>
  <c r="D59"/>
  <c r="D44"/>
  <c r="D43"/>
  <c r="F54"/>
  <c r="F53"/>
  <c r="F52"/>
  <c r="F51"/>
  <c r="F50"/>
  <c r="F49"/>
  <c r="F48"/>
  <c r="F47"/>
  <c r="F46"/>
  <c r="F45"/>
  <c r="F44"/>
  <c r="F43"/>
  <c r="E54"/>
  <c r="E53"/>
  <c r="E52"/>
  <c r="E51"/>
  <c r="E50"/>
  <c r="E49"/>
  <c r="E47"/>
  <c r="E46"/>
  <c r="E45"/>
  <c r="D54"/>
  <c r="D53"/>
  <c r="D52"/>
  <c r="D51"/>
  <c r="D50"/>
  <c r="D49"/>
  <c r="D48"/>
  <c r="D47"/>
  <c r="D46"/>
  <c r="D45"/>
  <c r="F38"/>
  <c r="F85" s="1"/>
  <c r="F101" s="1"/>
  <c r="E16" i="2"/>
  <c r="E38" i="40"/>
  <c r="D16" i="2"/>
  <c r="D38" i="40"/>
  <c r="F15" i="2"/>
  <c r="F37" i="40"/>
  <c r="E15" i="2"/>
  <c r="E37" i="40"/>
  <c r="D15" i="2"/>
  <c r="D37" i="40"/>
  <c r="D84" s="1"/>
  <c r="D100" s="1"/>
  <c r="D15" s="1"/>
  <c r="F14" i="2"/>
  <c r="F36" i="40"/>
  <c r="F83" s="1"/>
  <c r="F99" s="1"/>
  <c r="E14" i="2"/>
  <c r="E36" i="40"/>
  <c r="D14" i="2"/>
  <c r="D36" i="40"/>
  <c r="D83" s="1"/>
  <c r="D99" s="1"/>
  <c r="F13" i="2"/>
  <c r="F35" i="40"/>
  <c r="F82" s="1"/>
  <c r="F98" s="1"/>
  <c r="E13" i="2"/>
  <c r="E35" i="40"/>
  <c r="E82" s="1"/>
  <c r="E98" s="1"/>
  <c r="E13" s="1"/>
  <c r="D13" i="2"/>
  <c r="D35" i="40"/>
  <c r="F12" i="2"/>
  <c r="F34" i="40"/>
  <c r="E12" i="2"/>
  <c r="E34" i="40"/>
  <c r="D12" i="2"/>
  <c r="D34" i="40"/>
  <c r="F11" i="2"/>
  <c r="F33" i="40"/>
  <c r="E11" i="2"/>
  <c r="E33" i="40"/>
  <c r="D33"/>
  <c r="F10" i="2"/>
  <c r="F32" i="40"/>
  <c r="F79" s="1"/>
  <c r="F95" s="1"/>
  <c r="E10" i="2"/>
  <c r="E32" i="40"/>
  <c r="E79" s="1"/>
  <c r="E95" s="1"/>
  <c r="D10" i="2"/>
  <c r="D32" i="40"/>
  <c r="D79" s="1"/>
  <c r="D95" s="1"/>
  <c r="F31"/>
  <c r="F78" s="1"/>
  <c r="F94" s="1"/>
  <c r="F9" s="1"/>
  <c r="E9" i="2"/>
  <c r="E31" i="40"/>
  <c r="E78" s="1"/>
  <c r="E94" s="1"/>
  <c r="E9" s="1"/>
  <c r="D31"/>
  <c r="D78" s="1"/>
  <c r="D94" s="1"/>
  <c r="D9" s="1"/>
  <c r="F8" i="2"/>
  <c r="F30" i="40"/>
  <c r="E8" i="2"/>
  <c r="E30" i="40"/>
  <c r="E77" s="1"/>
  <c r="E93" s="1"/>
  <c r="E8" s="1"/>
  <c r="D8" i="2"/>
  <c r="D30" i="40"/>
  <c r="F7" i="2"/>
  <c r="F29" i="40"/>
  <c r="F76" s="1"/>
  <c r="F92" s="1"/>
  <c r="F7" s="1"/>
  <c r="E7" i="2"/>
  <c r="E29" i="40"/>
  <c r="E76" s="1"/>
  <c r="E92" s="1"/>
  <c r="E7" s="1"/>
  <c r="D7" i="2"/>
  <c r="D29" i="40"/>
  <c r="D76" s="1"/>
  <c r="D92" s="1"/>
  <c r="F28"/>
  <c r="F75" s="1"/>
  <c r="F91" s="1"/>
  <c r="D6" i="2"/>
  <c r="D28" i="40"/>
  <c r="D75" s="1"/>
  <c r="D91" s="1"/>
  <c r="D27"/>
  <c r="D74" s="1"/>
  <c r="D90" s="1"/>
  <c r="F84"/>
  <c r="F100" s="1"/>
  <c r="F15" s="1"/>
  <c r="F80"/>
  <c r="F96" s="1"/>
  <c r="F11" s="1"/>
  <c r="F5" i="2"/>
  <c r="F27" i="40"/>
  <c r="F74" s="1"/>
  <c r="F90" s="1"/>
  <c r="F5" s="1"/>
  <c r="E84"/>
  <c r="E100" s="1"/>
  <c r="E15" s="1"/>
  <c r="E80"/>
  <c r="D82"/>
  <c r="D98" s="1"/>
  <c r="D13" s="1"/>
  <c r="D77"/>
  <c r="D93" s="1"/>
  <c r="R54"/>
  <c r="R38"/>
  <c r="R53"/>
  <c r="R84"/>
  <c r="R100"/>
  <c r="R52"/>
  <c r="R51"/>
  <c r="R50"/>
  <c r="R49"/>
  <c r="R48"/>
  <c r="R79"/>
  <c r="R95"/>
  <c r="R10"/>
  <c r="R47"/>
  <c r="R78"/>
  <c r="R94"/>
  <c r="R9"/>
  <c r="R46"/>
  <c r="R77"/>
  <c r="R93"/>
  <c r="R8"/>
  <c r="R45"/>
  <c r="R29"/>
  <c r="R76"/>
  <c r="R92"/>
  <c r="R7"/>
  <c r="R44"/>
  <c r="R75"/>
  <c r="R91"/>
  <c r="R6"/>
  <c r="R43"/>
  <c r="R74"/>
  <c r="R90"/>
  <c r="R5"/>
  <c r="R15"/>
  <c r="C38"/>
  <c r="C54"/>
  <c r="C85"/>
  <c r="C101"/>
  <c r="C16"/>
  <c r="C53"/>
  <c r="C84"/>
  <c r="C100"/>
  <c r="C15"/>
  <c r="C52"/>
  <c r="C83"/>
  <c r="C99"/>
  <c r="C14"/>
  <c r="C51"/>
  <c r="C82"/>
  <c r="C98"/>
  <c r="C13"/>
  <c r="C50"/>
  <c r="C81"/>
  <c r="C97"/>
  <c r="C12"/>
  <c r="C49"/>
  <c r="C80"/>
  <c r="C96"/>
  <c r="C11"/>
  <c r="C48"/>
  <c r="C79"/>
  <c r="C95"/>
  <c r="C10"/>
  <c r="C47"/>
  <c r="C78"/>
  <c r="C94"/>
  <c r="C9"/>
  <c r="C46"/>
  <c r="C77"/>
  <c r="C93"/>
  <c r="C8"/>
  <c r="C29"/>
  <c r="C45"/>
  <c r="C76"/>
  <c r="C92"/>
  <c r="C7"/>
  <c r="C28"/>
  <c r="C44"/>
  <c r="C75"/>
  <c r="C91"/>
  <c r="C6"/>
  <c r="C27"/>
  <c r="C5"/>
  <c r="C18"/>
  <c r="C43"/>
  <c r="C74"/>
  <c r="C90"/>
  <c r="B38"/>
  <c r="B54"/>
  <c r="B85"/>
  <c r="B101"/>
  <c r="B16"/>
  <c r="B37"/>
  <c r="B53"/>
  <c r="B84"/>
  <c r="B100"/>
  <c r="B15"/>
  <c r="B36"/>
  <c r="B52"/>
  <c r="B83"/>
  <c r="B99"/>
  <c r="B14"/>
  <c r="B35"/>
  <c r="B13"/>
  <c r="B51"/>
  <c r="B82"/>
  <c r="B98"/>
  <c r="B34"/>
  <c r="B50"/>
  <c r="B81"/>
  <c r="B97"/>
  <c r="B12"/>
  <c r="B33"/>
  <c r="B49"/>
  <c r="B80"/>
  <c r="B96"/>
  <c r="B11"/>
  <c r="B32"/>
  <c r="B48"/>
  <c r="B79"/>
  <c r="B95"/>
  <c r="B10"/>
  <c r="B31"/>
  <c r="B9"/>
  <c r="B47"/>
  <c r="B78"/>
  <c r="B94"/>
  <c r="B30"/>
  <c r="B46"/>
  <c r="B77"/>
  <c r="B93"/>
  <c r="B8"/>
  <c r="B29"/>
  <c r="B45"/>
  <c r="B76"/>
  <c r="B92"/>
  <c r="B7"/>
  <c r="B28"/>
  <c r="B44"/>
  <c r="B75"/>
  <c r="B91"/>
  <c r="B6"/>
  <c r="B27"/>
  <c r="B5"/>
  <c r="B18"/>
  <c r="B43"/>
  <c r="B74"/>
  <c r="B90"/>
  <c r="R33"/>
  <c r="R80" s="1"/>
  <c r="R96" s="1"/>
  <c r="R36"/>
  <c r="R83" s="1"/>
  <c r="R99" s="1"/>
  <c r="R35"/>
  <c r="R82" s="1"/>
  <c r="R98" s="1"/>
  <c r="R34"/>
  <c r="R81" s="1"/>
  <c r="R97" s="1"/>
  <c r="R12" s="1"/>
  <c r="D80"/>
  <c r="D96" s="1"/>
  <c r="G7" i="1"/>
  <c r="G6"/>
  <c r="G5"/>
  <c r="F15"/>
  <c r="F14"/>
  <c r="F13"/>
  <c r="F12"/>
  <c r="F11"/>
  <c r="F10"/>
  <c r="F8"/>
  <c r="F7"/>
  <c r="F5"/>
  <c r="E16"/>
  <c r="E15"/>
  <c r="E14"/>
  <c r="E13"/>
  <c r="E12"/>
  <c r="E11"/>
  <c r="E10"/>
  <c r="E9"/>
  <c r="E8"/>
  <c r="E7"/>
  <c r="E6"/>
  <c r="E5"/>
  <c r="D16"/>
  <c r="D15"/>
  <c r="D14"/>
  <c r="D13"/>
  <c r="D12"/>
  <c r="D10"/>
  <c r="D9"/>
  <c r="D7"/>
  <c r="D6"/>
  <c r="D5"/>
  <c r="D18"/>
  <c r="T8"/>
  <c r="S7"/>
  <c r="S12"/>
  <c r="S14"/>
  <c r="S16"/>
  <c r="S18"/>
  <c r="C5"/>
  <c r="C18"/>
  <c r="B6"/>
  <c r="C6"/>
  <c r="B7"/>
  <c r="C7"/>
  <c r="B8"/>
  <c r="B9"/>
  <c r="B10"/>
  <c r="B11"/>
  <c r="B12"/>
  <c r="B13"/>
  <c r="B14"/>
  <c r="B15"/>
  <c r="B16"/>
  <c r="C16"/>
  <c r="E14" i="42"/>
  <c r="F157" i="41"/>
  <c r="G157"/>
  <c r="H156"/>
  <c r="H155"/>
  <c r="B59"/>
  <c r="B58"/>
  <c r="B57"/>
  <c r="B56"/>
  <c r="B55"/>
  <c r="F156"/>
  <c r="G156"/>
  <c r="F155"/>
  <c r="G155"/>
  <c r="I155"/>
  <c r="C66"/>
  <c r="H154"/>
  <c r="H153"/>
  <c r="H152"/>
  <c r="H151"/>
  <c r="F154"/>
  <c r="G154"/>
  <c r="I154"/>
  <c r="C65"/>
  <c r="F153"/>
  <c r="G153"/>
  <c r="F152"/>
  <c r="G152"/>
  <c r="I152"/>
  <c r="C63"/>
  <c r="F151"/>
  <c r="G151"/>
  <c r="O208"/>
  <c r="P208"/>
  <c r="P209"/>
  <c r="O209"/>
  <c r="O210"/>
  <c r="O213"/>
  <c r="F150"/>
  <c r="G150"/>
  <c r="I150"/>
  <c r="C61"/>
  <c r="F149"/>
  <c r="G149"/>
  <c r="I149"/>
  <c r="C60"/>
  <c r="B60"/>
  <c r="F148"/>
  <c r="G148"/>
  <c r="I148"/>
  <c r="C59"/>
  <c r="F147"/>
  <c r="G147"/>
  <c r="I147"/>
  <c r="C58"/>
  <c r="F146"/>
  <c r="G146"/>
  <c r="I146"/>
  <c r="C57"/>
  <c r="F145"/>
  <c r="G145"/>
  <c r="I145"/>
  <c r="C56"/>
  <c r="F144"/>
  <c r="G144"/>
  <c r="I144"/>
  <c r="C55"/>
  <c r="F143"/>
  <c r="G143"/>
  <c r="I143"/>
  <c r="C54"/>
  <c r="F142"/>
  <c r="G142"/>
  <c r="I142"/>
  <c r="C53"/>
  <c r="B53"/>
  <c r="F141"/>
  <c r="G141"/>
  <c r="I141"/>
  <c r="C52"/>
  <c r="B52"/>
  <c r="B51"/>
  <c r="F140"/>
  <c r="G140"/>
  <c r="I140"/>
  <c r="C51"/>
  <c r="F139"/>
  <c r="G139"/>
  <c r="I139"/>
  <c r="C50"/>
  <c r="F138"/>
  <c r="G138"/>
  <c r="I138"/>
  <c r="C49"/>
  <c r="F137"/>
  <c r="G137"/>
  <c r="I137"/>
  <c r="F136"/>
  <c r="G136"/>
  <c r="I136"/>
  <c r="C48"/>
  <c r="F135"/>
  <c r="G135"/>
  <c r="I135"/>
  <c r="C47"/>
  <c r="F134"/>
  <c r="G134"/>
  <c r="I134"/>
  <c r="C46"/>
  <c r="F133"/>
  <c r="G133"/>
  <c r="I133"/>
  <c r="C45"/>
  <c r="F132"/>
  <c r="G132"/>
  <c r="I132"/>
  <c r="C44"/>
  <c r="F131"/>
  <c r="G131"/>
  <c r="I131"/>
  <c r="C43"/>
  <c r="F130"/>
  <c r="G130"/>
  <c r="I130"/>
  <c r="F129"/>
  <c r="G129"/>
  <c r="I129"/>
  <c r="F128"/>
  <c r="G128"/>
  <c r="I128"/>
  <c r="B49"/>
  <c r="B48"/>
  <c r="B47"/>
  <c r="B46"/>
  <c r="B45"/>
  <c r="B44"/>
  <c r="B43"/>
  <c r="F127"/>
  <c r="G127"/>
  <c r="I127"/>
  <c r="F109"/>
  <c r="G109"/>
  <c r="I109"/>
  <c r="S22"/>
  <c r="F108"/>
  <c r="G108"/>
  <c r="I108"/>
  <c r="S21"/>
  <c r="F107"/>
  <c r="G107"/>
  <c r="I107"/>
  <c r="S20"/>
  <c r="F106"/>
  <c r="G106"/>
  <c r="I106"/>
  <c r="S19"/>
  <c r="F105"/>
  <c r="G105"/>
  <c r="I105"/>
  <c r="S18"/>
  <c r="F104"/>
  <c r="G104"/>
  <c r="I104"/>
  <c r="S17"/>
  <c r="F103"/>
  <c r="G103"/>
  <c r="I103"/>
  <c r="S16"/>
  <c r="F102"/>
  <c r="G102"/>
  <c r="I102"/>
  <c r="S15"/>
  <c r="F101"/>
  <c r="G101"/>
  <c r="I101"/>
  <c r="S14"/>
  <c r="F100"/>
  <c r="G100"/>
  <c r="I100"/>
  <c r="S13"/>
  <c r="F99"/>
  <c r="G99"/>
  <c r="I99"/>
  <c r="S12"/>
  <c r="F98"/>
  <c r="G98"/>
  <c r="I98"/>
  <c r="S11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F126"/>
  <c r="G126"/>
  <c r="I126"/>
  <c r="C42"/>
  <c r="F125"/>
  <c r="G125"/>
  <c r="I125"/>
  <c r="C41"/>
  <c r="F124"/>
  <c r="G124"/>
  <c r="I124"/>
  <c r="C40"/>
  <c r="F123"/>
  <c r="G123"/>
  <c r="I123"/>
  <c r="C39"/>
  <c r="F122"/>
  <c r="G122"/>
  <c r="I122"/>
  <c r="C38"/>
  <c r="F121"/>
  <c r="G121"/>
  <c r="I121"/>
  <c r="C37"/>
  <c r="F120"/>
  <c r="G120"/>
  <c r="I120"/>
  <c r="C36"/>
  <c r="F119"/>
  <c r="G119"/>
  <c r="I119"/>
  <c r="C35"/>
  <c r="F118"/>
  <c r="G118"/>
  <c r="I118"/>
  <c r="C34"/>
  <c r="F117"/>
  <c r="G117"/>
  <c r="I117"/>
  <c r="C33"/>
  <c r="F116"/>
  <c r="G116"/>
  <c r="I116"/>
  <c r="C32"/>
  <c r="F115"/>
  <c r="G115"/>
  <c r="I115"/>
  <c r="C31"/>
  <c r="F114"/>
  <c r="G114"/>
  <c r="I114"/>
  <c r="C30"/>
  <c r="F113"/>
  <c r="G113"/>
  <c r="I113"/>
  <c r="C29"/>
  <c r="F112"/>
  <c r="G112"/>
  <c r="I112"/>
  <c r="C28"/>
  <c r="F111"/>
  <c r="G111"/>
  <c r="I111"/>
  <c r="C27"/>
  <c r="F110"/>
  <c r="G110"/>
  <c r="I110"/>
  <c r="C26"/>
  <c r="G97"/>
  <c r="I97"/>
  <c r="C1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C12"/>
  <c r="B12"/>
  <c r="C11"/>
  <c r="B11"/>
  <c r="D213"/>
  <c r="G218"/>
  <c r="I218"/>
  <c r="D214"/>
  <c r="D215"/>
  <c r="D216"/>
  <c r="D217"/>
  <c r="D218"/>
  <c r="F218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D212"/>
  <c r="F217"/>
  <c r="D211"/>
  <c r="F216"/>
  <c r="D210"/>
  <c r="F215"/>
  <c r="D209"/>
  <c r="F214"/>
  <c r="D208"/>
  <c r="F213"/>
  <c r="D207"/>
  <c r="F212"/>
  <c r="G212"/>
  <c r="I212"/>
  <c r="F211"/>
  <c r="G211"/>
  <c r="I211"/>
  <c r="F210"/>
  <c r="G210"/>
  <c r="I210"/>
  <c r="F209"/>
  <c r="G209"/>
  <c r="I209"/>
  <c r="D206"/>
  <c r="F208"/>
  <c r="G208"/>
  <c r="I208"/>
  <c r="D205"/>
  <c r="F207"/>
  <c r="G207"/>
  <c r="I207"/>
  <c r="D204"/>
  <c r="F206"/>
  <c r="G206"/>
  <c r="I206"/>
  <c r="D203"/>
  <c r="F205"/>
  <c r="G205"/>
  <c r="I205"/>
  <c r="D202"/>
  <c r="F204"/>
  <c r="G204"/>
  <c r="I204"/>
  <c r="D201"/>
  <c r="F203"/>
  <c r="G203"/>
  <c r="I203"/>
  <c r="D200"/>
  <c r="F202"/>
  <c r="G202"/>
  <c r="I202"/>
  <c r="D199"/>
  <c r="F201"/>
  <c r="G201"/>
  <c r="I201"/>
  <c r="D198"/>
  <c r="F200"/>
  <c r="G200"/>
  <c r="I200"/>
  <c r="D197"/>
  <c r="F199"/>
  <c r="G199"/>
  <c r="I199"/>
  <c r="D196"/>
  <c r="F198"/>
  <c r="G198"/>
  <c r="I198"/>
  <c r="D195"/>
  <c r="F197"/>
  <c r="G197"/>
  <c r="I197"/>
  <c r="D194"/>
  <c r="F196"/>
  <c r="G196"/>
  <c r="I196"/>
  <c r="D193"/>
  <c r="F195"/>
  <c r="G195"/>
  <c r="I195"/>
  <c r="D192"/>
  <c r="F194"/>
  <c r="G194"/>
  <c r="I194"/>
  <c r="D191"/>
  <c r="F193"/>
  <c r="G193"/>
  <c r="I193"/>
  <c r="D190"/>
  <c r="F192"/>
  <c r="G192"/>
  <c r="I192"/>
  <c r="D189"/>
  <c r="F191"/>
  <c r="G191"/>
  <c r="I191"/>
  <c r="D188"/>
  <c r="F190"/>
  <c r="G190"/>
  <c r="I190"/>
  <c r="D187"/>
  <c r="F189"/>
  <c r="G189"/>
  <c r="I189"/>
  <c r="D186"/>
  <c r="F188"/>
  <c r="G188"/>
  <c r="I188"/>
  <c r="D185"/>
  <c r="F187"/>
  <c r="G187"/>
  <c r="I187"/>
  <c r="D184"/>
  <c r="F186"/>
  <c r="G186"/>
  <c r="I186"/>
  <c r="D183"/>
  <c r="F185"/>
  <c r="G185"/>
  <c r="I185"/>
  <c r="B18" i="6"/>
  <c r="C18"/>
  <c r="C19"/>
  <c r="C20"/>
  <c r="G77" i="45"/>
  <c r="G76"/>
  <c r="K80"/>
  <c r="K79"/>
  <c r="K78"/>
  <c r="K77"/>
  <c r="K76"/>
  <c r="O64"/>
  <c r="Q64"/>
  <c r="O65"/>
  <c r="O66"/>
  <c r="Q66"/>
  <c r="O56"/>
  <c r="O57"/>
  <c r="O62"/>
  <c r="Q62"/>
  <c r="O58"/>
  <c r="O59"/>
  <c r="Q59"/>
  <c r="O60"/>
  <c r="O61"/>
  <c r="Q61"/>
  <c r="O54"/>
  <c r="Q54"/>
  <c r="E64"/>
  <c r="E65"/>
  <c r="E66"/>
  <c r="O21"/>
  <c r="O22"/>
  <c r="O23"/>
  <c r="O11"/>
  <c r="O82"/>
  <c r="Q82"/>
  <c r="O81"/>
  <c r="Q81"/>
  <c r="O80"/>
  <c r="Q80"/>
  <c r="O79"/>
  <c r="Q79"/>
  <c r="O78"/>
  <c r="Q78"/>
  <c r="O77"/>
  <c r="Q77"/>
  <c r="O76"/>
  <c r="Q76"/>
  <c r="O75"/>
  <c r="Q75"/>
  <c r="E80"/>
  <c r="E79"/>
  <c r="E78"/>
  <c r="E77"/>
  <c r="E76"/>
  <c r="E75"/>
  <c r="O69"/>
  <c r="Q69"/>
  <c r="Q65"/>
  <c r="Q60"/>
  <c r="Q58"/>
  <c r="Q56"/>
  <c r="O53"/>
  <c r="Q53"/>
  <c r="O52"/>
  <c r="Q52"/>
  <c r="E70"/>
  <c r="E69"/>
  <c r="E67"/>
  <c r="E62"/>
  <c r="E61"/>
  <c r="E60"/>
  <c r="E59"/>
  <c r="E58"/>
  <c r="E57"/>
  <c r="E56"/>
  <c r="O39"/>
  <c r="Q39"/>
  <c r="O38"/>
  <c r="Q38"/>
  <c r="O37"/>
  <c r="Q37"/>
  <c r="O36"/>
  <c r="Q36"/>
  <c r="O35"/>
  <c r="Q35"/>
  <c r="O34"/>
  <c r="Q34"/>
  <c r="O33"/>
  <c r="Q33"/>
  <c r="O32"/>
  <c r="Q32"/>
  <c r="E37"/>
  <c r="E36"/>
  <c r="E35"/>
  <c r="E34"/>
  <c r="E33"/>
  <c r="E32"/>
  <c r="O26"/>
  <c r="Q26"/>
  <c r="Q23"/>
  <c r="Q22"/>
  <c r="Q21"/>
  <c r="O19"/>
  <c r="Q19"/>
  <c r="O18"/>
  <c r="Q18"/>
  <c r="O17"/>
  <c r="Q17"/>
  <c r="O16"/>
  <c r="Q16"/>
  <c r="O15"/>
  <c r="Q15"/>
  <c r="O14"/>
  <c r="Q14"/>
  <c r="O13"/>
  <c r="Q13"/>
  <c r="Q11"/>
  <c r="O10"/>
  <c r="Q10"/>
  <c r="E27"/>
  <c r="E26"/>
  <c r="E24"/>
  <c r="E23"/>
  <c r="E22"/>
  <c r="E21"/>
  <c r="E19"/>
  <c r="E18"/>
  <c r="E17"/>
  <c r="E16"/>
  <c r="E15"/>
  <c r="E14"/>
  <c r="E13"/>
  <c r="E11"/>
  <c r="E10"/>
  <c r="E9"/>
  <c r="T11" i="2"/>
  <c r="T8"/>
  <c r="S16"/>
  <c r="S14"/>
  <c r="S7"/>
  <c r="B5"/>
  <c r="C5"/>
  <c r="B6"/>
  <c r="C6"/>
  <c r="B7"/>
  <c r="C7"/>
  <c r="B8"/>
  <c r="B9"/>
  <c r="B18"/>
  <c r="B10"/>
  <c r="B11"/>
  <c r="B12"/>
  <c r="B13"/>
  <c r="B14"/>
  <c r="B15"/>
  <c r="B16"/>
  <c r="C16"/>
  <c r="C18"/>
  <c r="C19"/>
  <c r="C20"/>
  <c r="D81" i="13"/>
  <c r="D46"/>
  <c r="D80"/>
  <c r="D45"/>
  <c r="D79"/>
  <c r="D44"/>
  <c r="D78"/>
  <c r="D43"/>
  <c r="D77"/>
  <c r="D42"/>
  <c r="D76"/>
  <c r="D41"/>
  <c r="D75"/>
  <c r="D40"/>
  <c r="D74"/>
  <c r="D39"/>
  <c r="D73"/>
  <c r="D38"/>
  <c r="D72"/>
  <c r="D37"/>
  <c r="D71"/>
  <c r="D36"/>
  <c r="D70"/>
  <c r="D35"/>
  <c r="E70"/>
  <c r="E35"/>
  <c r="E71"/>
  <c r="E36"/>
  <c r="E72"/>
  <c r="E37"/>
  <c r="E73"/>
  <c r="E38"/>
  <c r="E74"/>
  <c r="E39"/>
  <c r="E75"/>
  <c r="E40"/>
  <c r="E76"/>
  <c r="E41"/>
  <c r="E77"/>
  <c r="E42"/>
  <c r="E78"/>
  <c r="E43"/>
  <c r="E79"/>
  <c r="E44"/>
  <c r="E80"/>
  <c r="E45"/>
  <c r="E81"/>
  <c r="E46"/>
  <c r="F70"/>
  <c r="F35"/>
  <c r="F71"/>
  <c r="F36"/>
  <c r="F72"/>
  <c r="F37"/>
  <c r="F73"/>
  <c r="F38"/>
  <c r="F75"/>
  <c r="F40"/>
  <c r="F76"/>
  <c r="F41"/>
  <c r="F77"/>
  <c r="F42"/>
  <c r="F78"/>
  <c r="F43"/>
  <c r="F79"/>
  <c r="F44"/>
  <c r="F80"/>
  <c r="F45"/>
  <c r="F81"/>
  <c r="F46"/>
  <c r="C125"/>
  <c r="C101"/>
  <c r="C124"/>
  <c r="C100"/>
  <c r="C123"/>
  <c r="C99"/>
  <c r="C122"/>
  <c r="C98"/>
  <c r="C121"/>
  <c r="C97"/>
  <c r="C120"/>
  <c r="C96"/>
  <c r="C119"/>
  <c r="C95"/>
  <c r="C118"/>
  <c r="C94"/>
  <c r="C117"/>
  <c r="C93"/>
  <c r="C116"/>
  <c r="C92"/>
  <c r="C115"/>
  <c r="C91"/>
  <c r="C114"/>
  <c r="C90"/>
  <c r="B125"/>
  <c r="B101"/>
  <c r="B124"/>
  <c r="B100"/>
  <c r="B123"/>
  <c r="B99"/>
  <c r="B122"/>
  <c r="B98"/>
  <c r="B121"/>
  <c r="B97"/>
  <c r="B120"/>
  <c r="B96"/>
  <c r="B119"/>
  <c r="B95"/>
  <c r="B118"/>
  <c r="B94"/>
  <c r="B117"/>
  <c r="B93"/>
  <c r="B116"/>
  <c r="B92"/>
  <c r="B115"/>
  <c r="B91"/>
  <c r="B114"/>
  <c r="B90"/>
  <c r="C78"/>
  <c r="C43"/>
  <c r="C79"/>
  <c r="C44"/>
  <c r="C80"/>
  <c r="C45"/>
  <c r="C81"/>
  <c r="C46"/>
  <c r="B70"/>
  <c r="B35"/>
  <c r="C70"/>
  <c r="C35"/>
  <c r="B71"/>
  <c r="B36"/>
  <c r="C71"/>
  <c r="C36"/>
  <c r="B72"/>
  <c r="B37"/>
  <c r="C72"/>
  <c r="C37"/>
  <c r="B73"/>
  <c r="B38"/>
  <c r="C73"/>
  <c r="C38"/>
  <c r="B74"/>
  <c r="B39"/>
  <c r="C74"/>
  <c r="C39"/>
  <c r="B75"/>
  <c r="B40"/>
  <c r="C75"/>
  <c r="C40"/>
  <c r="B76"/>
  <c r="B41"/>
  <c r="C76"/>
  <c r="C41"/>
  <c r="B77"/>
  <c r="B42"/>
  <c r="C77"/>
  <c r="C42"/>
  <c r="B78"/>
  <c r="B43"/>
  <c r="B79"/>
  <c r="B44"/>
  <c r="B80"/>
  <c r="B45"/>
  <c r="B81"/>
  <c r="B46"/>
  <c r="B66"/>
  <c r="C66"/>
  <c r="G48" i="14"/>
  <c r="I48"/>
  <c r="C16"/>
  <c r="G47"/>
  <c r="I47"/>
  <c r="C15"/>
  <c r="G46"/>
  <c r="I46"/>
  <c r="C14"/>
  <c r="G45"/>
  <c r="I45"/>
  <c r="C13"/>
  <c r="G44"/>
  <c r="I44"/>
  <c r="C12"/>
  <c r="G43"/>
  <c r="I43"/>
  <c r="C11"/>
  <c r="G42"/>
  <c r="I42"/>
  <c r="C10"/>
  <c r="G41"/>
  <c r="I41"/>
  <c r="C9"/>
  <c r="G40"/>
  <c r="I40"/>
  <c r="C8"/>
  <c r="G39"/>
  <c r="I39"/>
  <c r="C7"/>
  <c r="G38"/>
  <c r="I38"/>
  <c r="C6"/>
  <c r="G37"/>
  <c r="I37"/>
  <c r="C5"/>
  <c r="E16"/>
  <c r="E15"/>
  <c r="E14"/>
  <c r="E13"/>
  <c r="E12"/>
  <c r="E11"/>
  <c r="E10"/>
  <c r="E8"/>
  <c r="E7"/>
  <c r="E6"/>
  <c r="E5"/>
  <c r="C146"/>
  <c r="C145"/>
  <c r="C144"/>
  <c r="C143"/>
  <c r="C142"/>
  <c r="C141"/>
  <c r="C140"/>
  <c r="C139"/>
  <c r="C138"/>
  <c r="C137"/>
  <c r="C136"/>
  <c r="C135"/>
  <c r="C148"/>
  <c r="B112"/>
  <c r="C147"/>
  <c r="B111"/>
  <c r="B110"/>
  <c r="B109"/>
  <c r="B108"/>
  <c r="B107"/>
  <c r="B106"/>
  <c r="B105"/>
  <c r="B104"/>
  <c r="B103"/>
  <c r="B102"/>
  <c r="B101"/>
  <c r="B100"/>
  <c r="B99"/>
  <c r="C112"/>
  <c r="C111"/>
  <c r="C110"/>
  <c r="C109"/>
  <c r="C108"/>
  <c r="C107"/>
  <c r="C106"/>
  <c r="C105"/>
  <c r="C104"/>
  <c r="C103"/>
  <c r="C102"/>
  <c r="C101"/>
  <c r="C100"/>
  <c r="C99"/>
  <c r="C84"/>
  <c r="C83"/>
  <c r="C71"/>
  <c r="C70"/>
  <c r="C69"/>
  <c r="C68"/>
  <c r="C67"/>
  <c r="C66"/>
  <c r="C122" i="15"/>
  <c r="D7"/>
  <c r="C121"/>
  <c r="D6"/>
  <c r="C120"/>
  <c r="D5"/>
  <c r="J131"/>
  <c r="J130"/>
  <c r="J129"/>
  <c r="J128"/>
  <c r="J127"/>
  <c r="J126"/>
  <c r="J125"/>
  <c r="J124"/>
  <c r="J123"/>
  <c r="J122"/>
  <c r="J121"/>
  <c r="J120"/>
  <c r="C119"/>
  <c r="E16"/>
  <c r="B119"/>
  <c r="C118"/>
  <c r="B118"/>
  <c r="E15"/>
  <c r="C117"/>
  <c r="E14"/>
  <c r="B117"/>
  <c r="C116"/>
  <c r="E13"/>
  <c r="C115"/>
  <c r="E12"/>
  <c r="C114"/>
  <c r="E11"/>
  <c r="C113"/>
  <c r="E10"/>
  <c r="C112"/>
  <c r="E9"/>
  <c r="C111"/>
  <c r="E8"/>
  <c r="C110"/>
  <c r="E7"/>
  <c r="C109"/>
  <c r="E6"/>
  <c r="C108"/>
  <c r="E5"/>
  <c r="C107"/>
  <c r="C106"/>
  <c r="C105"/>
  <c r="C104"/>
  <c r="C103"/>
  <c r="C102"/>
  <c r="C101"/>
  <c r="B101"/>
  <c r="C82"/>
  <c r="C100"/>
  <c r="B100"/>
  <c r="C99"/>
  <c r="C98"/>
  <c r="C97"/>
  <c r="C96"/>
  <c r="J119"/>
  <c r="J118"/>
  <c r="J117"/>
  <c r="J116"/>
  <c r="J115"/>
  <c r="J114"/>
  <c r="J113"/>
  <c r="J112"/>
  <c r="J111"/>
  <c r="J110"/>
  <c r="J109"/>
  <c r="J108"/>
  <c r="B89"/>
  <c r="B90"/>
  <c r="J107"/>
  <c r="B88"/>
  <c r="J106"/>
  <c r="B87"/>
  <c r="J105"/>
  <c r="B86"/>
  <c r="J104"/>
  <c r="B85"/>
  <c r="J103"/>
  <c r="B84"/>
  <c r="J102"/>
  <c r="B83"/>
  <c r="J101"/>
  <c r="B82"/>
  <c r="J100"/>
  <c r="B81"/>
  <c r="J99"/>
  <c r="B80"/>
  <c r="J98"/>
  <c r="B79"/>
  <c r="J97"/>
  <c r="B78"/>
  <c r="J96"/>
  <c r="B77"/>
  <c r="C90"/>
  <c r="C89"/>
  <c r="C88"/>
  <c r="C87"/>
  <c r="C86"/>
  <c r="C85"/>
  <c r="C84"/>
  <c r="C83"/>
  <c r="C81"/>
  <c r="C80"/>
  <c r="C79"/>
  <c r="C78"/>
  <c r="C77"/>
  <c r="C95"/>
  <c r="C94"/>
  <c r="C93"/>
  <c r="C76"/>
  <c r="C75"/>
  <c r="C74"/>
  <c r="C73"/>
  <c r="C72"/>
  <c r="C71"/>
  <c r="C70"/>
  <c r="C69"/>
  <c r="C68"/>
  <c r="S16" i="7"/>
  <c r="B18"/>
  <c r="C18"/>
  <c r="C19"/>
  <c r="C20"/>
  <c r="I159" i="41"/>
  <c r="C70"/>
  <c r="I158"/>
  <c r="C69"/>
  <c r="I157"/>
  <c r="C68"/>
  <c r="G75" i="40"/>
  <c r="G91" s="1"/>
  <c r="G6" s="1"/>
  <c r="C14" i="41"/>
  <c r="T11"/>
  <c r="T12"/>
  <c r="C15"/>
  <c r="C18"/>
  <c r="T15"/>
  <c r="T16"/>
  <c r="C19"/>
  <c r="C22"/>
  <c r="T19"/>
  <c r="T20"/>
  <c r="C23"/>
  <c r="C16"/>
  <c r="T13"/>
  <c r="T14"/>
  <c r="C17"/>
  <c r="C20"/>
  <c r="T17"/>
  <c r="T18"/>
  <c r="C21"/>
  <c r="C24"/>
  <c r="T21"/>
  <c r="T22"/>
  <c r="C25"/>
  <c r="C19" i="40"/>
  <c r="C20"/>
  <c r="R85"/>
  <c r="R101"/>
  <c r="R16"/>
  <c r="F77"/>
  <c r="F93" s="1"/>
  <c r="F8" s="1"/>
  <c r="Q57" i="45"/>
  <c r="G213" i="41"/>
  <c r="I213"/>
  <c r="G214"/>
  <c r="I214"/>
  <c r="G215"/>
  <c r="I215"/>
  <c r="G216"/>
  <c r="I216"/>
  <c r="G217"/>
  <c r="I217"/>
  <c r="P210"/>
  <c r="P212"/>
  <c r="I151"/>
  <c r="C62"/>
  <c r="I153"/>
  <c r="C64"/>
  <c r="I156"/>
  <c r="C67"/>
  <c r="E96" i="40"/>
  <c r="E11" s="1"/>
  <c r="E72" i="45"/>
  <c r="E81" i="40"/>
  <c r="E97" s="1"/>
  <c r="E12" s="1"/>
  <c r="F81"/>
  <c r="F97" s="1"/>
  <c r="F12" s="1"/>
  <c r="E83"/>
  <c r="E99" s="1"/>
  <c r="E14" s="1"/>
  <c r="E85"/>
  <c r="E101" s="1"/>
  <c r="E16" s="1"/>
  <c r="B18" i="1"/>
  <c r="C19"/>
  <c r="C20"/>
  <c r="D81" i="40"/>
  <c r="D97" s="1"/>
  <c r="D12" s="1"/>
  <c r="D85"/>
  <c r="D101" s="1"/>
  <c r="D16" s="1"/>
  <c r="E75"/>
  <c r="E91" s="1"/>
  <c r="E6" s="1"/>
  <c r="K24" i="45"/>
  <c r="K67"/>
  <c r="I170" i="41"/>
  <c r="C81"/>
  <c r="D33" i="44"/>
  <c r="K27" i="45"/>
  <c r="O24"/>
  <c r="Q24"/>
  <c r="K70"/>
  <c r="O67"/>
  <c r="Q67"/>
  <c r="E10" i="40"/>
  <c r="K72" i="45"/>
  <c r="O72"/>
  <c r="Q72"/>
  <c r="O70"/>
  <c r="Q70"/>
  <c r="K29"/>
  <c r="O29"/>
  <c r="Q29"/>
  <c r="O27"/>
  <c r="Q27"/>
  <c r="G5" i="40" l="1"/>
  <c r="E17"/>
  <c r="G16"/>
  <c r="D14"/>
  <c r="F14"/>
  <c r="F10"/>
  <c r="F6"/>
  <c r="R13"/>
  <c r="R14"/>
  <c r="R11"/>
  <c r="D10"/>
  <c r="F13"/>
  <c r="G7"/>
</calcChain>
</file>

<file path=xl/sharedStrings.xml><?xml version="1.0" encoding="utf-8"?>
<sst xmlns="http://schemas.openxmlformats.org/spreadsheetml/2006/main" count="525" uniqueCount="183">
  <si>
    <t>ADMISSIONS</t>
  </si>
  <si>
    <t>Jan.</t>
  </si>
  <si>
    <t>Feb.</t>
  </si>
  <si>
    <t>Mar.</t>
  </si>
  <si>
    <t>Apr.</t>
  </si>
  <si>
    <t>May</t>
  </si>
  <si>
    <t>June</t>
  </si>
  <si>
    <t>July</t>
  </si>
  <si>
    <t>Aug</t>
  </si>
  <si>
    <t>Sept.</t>
  </si>
  <si>
    <t>Oct.</t>
  </si>
  <si>
    <t xml:space="preserve">Nov. </t>
  </si>
  <si>
    <t>Dec</t>
  </si>
  <si>
    <t>PATIENT DAYS</t>
  </si>
  <si>
    <t>SURGERIES</t>
  </si>
  <si>
    <t>ER Visits</t>
  </si>
  <si>
    <t>Net Revenue</t>
  </si>
  <si>
    <t>2001 Actual</t>
  </si>
  <si>
    <t>Salaries with Benefits + Contract Labor</t>
  </si>
  <si>
    <t>Contract Labor</t>
  </si>
  <si>
    <t>Salaries % of Net Revnue</t>
  </si>
  <si>
    <t>Salaries + Benefits + Contract Labor</t>
  </si>
  <si>
    <t>Salaries</t>
  </si>
  <si>
    <t>Benefits</t>
  </si>
  <si>
    <t>Bad Debt</t>
  </si>
  <si>
    <t>Gross Revenue</t>
  </si>
  <si>
    <t>Salary Reduction Goals</t>
  </si>
  <si>
    <t>Supply Reduction Plan</t>
  </si>
  <si>
    <t>Supplies Exp</t>
  </si>
  <si>
    <t>Goal</t>
  </si>
  <si>
    <t>Actual</t>
  </si>
  <si>
    <t xml:space="preserve"> </t>
  </si>
  <si>
    <t>Jan</t>
  </si>
  <si>
    <t>Feb</t>
  </si>
  <si>
    <t>Mar</t>
  </si>
  <si>
    <t>Apr</t>
  </si>
  <si>
    <t>Oct</t>
  </si>
  <si>
    <t>Nov</t>
  </si>
  <si>
    <t>DAYS IN A/R</t>
  </si>
  <si>
    <t>Collections</t>
  </si>
  <si>
    <t>Days in A/R</t>
  </si>
  <si>
    <t>2002 Actual</t>
  </si>
  <si>
    <t>2000 Actual</t>
  </si>
  <si>
    <t>In Patient Income</t>
  </si>
  <si>
    <t>Out Patient Income</t>
  </si>
  <si>
    <t>InPat Revenue per patient day</t>
  </si>
  <si>
    <t>Days in Outpatient Revenue</t>
  </si>
  <si>
    <t>Ajusted Patient Days</t>
  </si>
  <si>
    <t>without Bonus accural</t>
  </si>
  <si>
    <t>Salaries with Benefits + Contract Labor(without Bonus Accural</t>
  </si>
  <si>
    <t>Salaries % of Net Revnue(without Bonus Accural</t>
  </si>
  <si>
    <t>Net Revenue less Bad Debt</t>
  </si>
  <si>
    <t>Month Ending</t>
  </si>
  <si>
    <t>Day in Month</t>
  </si>
  <si>
    <t>Avg Daily Rev</t>
  </si>
  <si>
    <t>A/R, Net</t>
  </si>
  <si>
    <t>Net Rev</t>
  </si>
  <si>
    <t>Net Revenue - Less Bad Debt</t>
  </si>
  <si>
    <t>A/R, Gross</t>
  </si>
  <si>
    <t>Med Supp</t>
  </si>
  <si>
    <t>Other Supp</t>
  </si>
  <si>
    <t>Drugs</t>
  </si>
  <si>
    <t>Food</t>
  </si>
  <si>
    <t>Budget</t>
  </si>
  <si>
    <t>Supp Exp</t>
  </si>
  <si>
    <t>BUDGETS</t>
  </si>
  <si>
    <t>BUDGET</t>
  </si>
  <si>
    <t>Salaries &amp; Benefits</t>
  </si>
  <si>
    <t>Revenue</t>
  </si>
  <si>
    <t>Tot Supp</t>
  </si>
  <si>
    <t>2006 Actual</t>
  </si>
  <si>
    <t>OPERATING STATEMENT</t>
  </si>
  <si>
    <t>ACTUAL</t>
  </si>
  <si>
    <t>VARIANCE</t>
  </si>
  <si>
    <t>PRIOR YEAR</t>
  </si>
  <si>
    <t>%</t>
  </si>
  <si>
    <t>Revenue Deductions</t>
  </si>
  <si>
    <t>TOTAL NET REVENUE</t>
  </si>
  <si>
    <t>OPERATING EXPENSES</t>
  </si>
  <si>
    <t>Medical Professional Fees</t>
  </si>
  <si>
    <t>Supplies</t>
  </si>
  <si>
    <t>Purchased Services</t>
  </si>
  <si>
    <t>Bad Debts</t>
  </si>
  <si>
    <t>Other Operating Expenses</t>
  </si>
  <si>
    <t>TOTAL OPERATING EXPENSES</t>
  </si>
  <si>
    <t>CAPITAL &amp; OTHER COSTS</t>
  </si>
  <si>
    <t>Depreciation</t>
  </si>
  <si>
    <t>Interest</t>
  </si>
  <si>
    <t>TOTAL CAPITAL &amp; OTHER</t>
  </si>
  <si>
    <t>NET EARNINGS FROM OPERATIONS</t>
  </si>
  <si>
    <t>NET INCOME  (Gain/-Loss)</t>
  </si>
  <si>
    <t>STATISTICS</t>
  </si>
  <si>
    <t>Admissions</t>
  </si>
  <si>
    <t>Patient Days</t>
  </si>
  <si>
    <t>Surgeries</t>
  </si>
  <si>
    <t>Deliveries</t>
  </si>
  <si>
    <t>YTD ACTUAL</t>
  </si>
  <si>
    <t>YTD BUDGET</t>
  </si>
  <si>
    <t>YTD PR YEAR</t>
  </si>
  <si>
    <t>DECEMBER</t>
  </si>
  <si>
    <t>CURRENT ASSETS</t>
  </si>
  <si>
    <t>Accounts Receivable, Patients</t>
  </si>
  <si>
    <t>Less: Contractural Allowances</t>
  </si>
  <si>
    <t>Net Patient Accounts Receivable</t>
  </si>
  <si>
    <t>Accounts Receivable - Other</t>
  </si>
  <si>
    <t>Inventories</t>
  </si>
  <si>
    <t>Prepaid Expense</t>
  </si>
  <si>
    <t>Total Current Assets</t>
  </si>
  <si>
    <t>Property, Plant &amp; Equipment</t>
  </si>
  <si>
    <t>Land &amp; Land Improvement</t>
  </si>
  <si>
    <t>Buildings &amp; Improvements</t>
  </si>
  <si>
    <t>Equipment</t>
  </si>
  <si>
    <t>Less Accumulated Depreciation</t>
  </si>
  <si>
    <t>Net Fixed Assets</t>
  </si>
  <si>
    <t>Total Other Assets</t>
  </si>
  <si>
    <t>Total Assets</t>
  </si>
  <si>
    <t>LIABILITIES</t>
  </si>
  <si>
    <t>Current Liabilities</t>
  </si>
  <si>
    <t>Accounts Payable - Vendors</t>
  </si>
  <si>
    <t>Accounts Payable - Other</t>
  </si>
  <si>
    <t>Medicare/Medicaid Settlements</t>
  </si>
  <si>
    <t>Accrued Salaries &amp; Wages</t>
  </si>
  <si>
    <t>Notes Payable/Curr Capital Lease</t>
  </si>
  <si>
    <t>Current Portion - Bonds Payable</t>
  </si>
  <si>
    <t>Total Current Portion LT Debt</t>
  </si>
  <si>
    <t>Total Current Liabilities</t>
  </si>
  <si>
    <t>Bonds Payable</t>
  </si>
  <si>
    <t>Capital Lease Obligations</t>
  </si>
  <si>
    <t>Total Long Term Debt(less curr)</t>
  </si>
  <si>
    <t>Fund Balance</t>
  </si>
  <si>
    <t>Total Liabilities and Net Assets</t>
  </si>
  <si>
    <t>Collection Agency Referals</t>
  </si>
  <si>
    <t>Med1 Solutions</t>
  </si>
  <si>
    <t xml:space="preserve">   Total Direct</t>
  </si>
  <si>
    <t>Total To Bad Debt</t>
  </si>
  <si>
    <t>COLLECTIONS</t>
  </si>
  <si>
    <t>AllianceOne-bad debt</t>
  </si>
  <si>
    <t>Allied</t>
  </si>
  <si>
    <t>Net Non Operating Income</t>
  </si>
  <si>
    <t>Y-T-D OPERATING STATEMENT</t>
  </si>
  <si>
    <t>Total PP&amp;E</t>
  </si>
  <si>
    <t>Jun</t>
  </si>
  <si>
    <t>Jul</t>
  </si>
  <si>
    <t>Sep</t>
  </si>
  <si>
    <t>BALANCE SHEET (UNAUDITED)</t>
  </si>
  <si>
    <t>Average Daily Census - BHU</t>
  </si>
  <si>
    <t>2007 Budget</t>
  </si>
  <si>
    <t>2007 Actual</t>
  </si>
  <si>
    <t>BUDGET 2007</t>
  </si>
  <si>
    <t>January</t>
  </si>
  <si>
    <t>February</t>
  </si>
  <si>
    <t>March</t>
  </si>
  <si>
    <t>April</t>
  </si>
  <si>
    <t xml:space="preserve">May </t>
  </si>
  <si>
    <t>August</t>
  </si>
  <si>
    <t>September</t>
  </si>
  <si>
    <t>October</t>
  </si>
  <si>
    <t>November</t>
  </si>
  <si>
    <t>December</t>
  </si>
  <si>
    <t>Total Salary Costs</t>
  </si>
  <si>
    <t>% of Net Revenue</t>
  </si>
  <si>
    <t>Patient Days - Total</t>
  </si>
  <si>
    <t>Long Term Debt(less current portion)</t>
  </si>
  <si>
    <t>FTEs Paid</t>
  </si>
  <si>
    <t>FTE's Productive</t>
  </si>
  <si>
    <t xml:space="preserve">FTE's Productive </t>
  </si>
  <si>
    <t xml:space="preserve">FTEs Paid </t>
  </si>
  <si>
    <t>YTD</t>
  </si>
  <si>
    <t>Cases</t>
  </si>
  <si>
    <t>Rev/Case</t>
  </si>
  <si>
    <t>Average Daily Census - Total</t>
  </si>
  <si>
    <t>CASH FLOW FROM OPERATIONS</t>
  </si>
  <si>
    <t>Restricted Money Market Cash</t>
  </si>
  <si>
    <t>2008 Actual</t>
  </si>
  <si>
    <t>Cash - Operating</t>
  </si>
  <si>
    <t>C.D</t>
  </si>
  <si>
    <t xml:space="preserve">   Total Cash &amp; Short Term investments</t>
  </si>
  <si>
    <t xml:space="preserve">Accrued Interest </t>
  </si>
  <si>
    <t>Savings - JCB</t>
  </si>
  <si>
    <t>Savings - Monroe</t>
  </si>
  <si>
    <t>Assets Whose Use is Limited</t>
  </si>
  <si>
    <t>December 2008</t>
  </si>
  <si>
    <t xml:space="preserve">Savings - 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</si>
</sst>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#,##0.0"/>
    <numFmt numFmtId="169" formatCode="#,##0.0000_);\(#,##0.0000\)"/>
    <numFmt numFmtId="170" formatCode="0.00_);\(0.00\)"/>
    <numFmt numFmtId="171" formatCode="_(* #,##0.0_);_(* \(#,##0.0\);_(* &quot;-&quot;?_);_(@_)"/>
    <numFmt numFmtId="172" formatCode="_(* #,##0_);_(* \(#,##0\);_(* &quot;-&quot;?_);_(@_)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1" fontId="0" fillId="0" borderId="0" xfId="0" applyNumberFormat="1"/>
    <xf numFmtId="10" fontId="0" fillId="0" borderId="0" xfId="0" applyNumberFormat="1"/>
    <xf numFmtId="3" fontId="0" fillId="0" borderId="0" xfId="0" applyNumberFormat="1"/>
    <xf numFmtId="14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2" fillId="0" borderId="0" xfId="0" applyFont="1"/>
    <xf numFmtId="165" fontId="0" fillId="0" borderId="0" xfId="1" applyNumberFormat="1" applyFont="1"/>
    <xf numFmtId="166" fontId="0" fillId="0" borderId="0" xfId="0" applyNumberFormat="1"/>
    <xf numFmtId="165" fontId="0" fillId="0" borderId="0" xfId="0" applyNumberFormat="1"/>
    <xf numFmtId="167" fontId="0" fillId="0" borderId="0" xfId="0" applyNumberFormat="1"/>
    <xf numFmtId="0" fontId="3" fillId="0" borderId="0" xfId="0" applyFont="1"/>
    <xf numFmtId="0" fontId="4" fillId="0" borderId="0" xfId="0" applyFont="1"/>
    <xf numFmtId="43" fontId="0" fillId="0" borderId="0" xfId="1" applyFont="1"/>
    <xf numFmtId="10" fontId="0" fillId="0" borderId="0" xfId="2" applyNumberFormat="1" applyFont="1"/>
    <xf numFmtId="43" fontId="0" fillId="0" borderId="0" xfId="0" applyNumberFormat="1"/>
    <xf numFmtId="2" fontId="0" fillId="0" borderId="0" xfId="0" applyNumberFormat="1"/>
    <xf numFmtId="164" fontId="0" fillId="0" borderId="0" xfId="2" applyNumberFormat="1" applyFont="1"/>
    <xf numFmtId="0" fontId="0" fillId="0" borderId="0" xfId="0" applyAlignment="1">
      <alignment wrapText="1"/>
    </xf>
    <xf numFmtId="49" fontId="0" fillId="0" borderId="0" xfId="0" applyNumberFormat="1" applyAlignment="1">
      <alignment vertical="center" wrapText="1"/>
    </xf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" fontId="0" fillId="0" borderId="0" xfId="1" applyNumberFormat="1" applyFont="1"/>
    <xf numFmtId="168" fontId="0" fillId="0" borderId="0" xfId="0" applyNumberFormat="1"/>
    <xf numFmtId="165" fontId="5" fillId="0" borderId="0" xfId="1" applyNumberFormat="1" applyFont="1"/>
    <xf numFmtId="37" fontId="5" fillId="2" borderId="1" xfId="0" applyNumberFormat="1" applyFont="1" applyFill="1" applyBorder="1"/>
    <xf numFmtId="165" fontId="5" fillId="0" borderId="0" xfId="1" applyNumberFormat="1" applyFont="1" applyBorder="1"/>
    <xf numFmtId="37" fontId="5" fillId="2" borderId="0" xfId="0" applyNumberFormat="1" applyFont="1" applyFill="1" applyBorder="1"/>
    <xf numFmtId="164" fontId="0" fillId="0" borderId="0" xfId="2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6" fillId="0" borderId="0" xfId="0" applyFont="1"/>
    <xf numFmtId="43" fontId="6" fillId="0" borderId="0" xfId="1" applyFont="1"/>
    <xf numFmtId="43" fontId="6" fillId="0" borderId="2" xfId="1" applyFont="1" applyBorder="1"/>
    <xf numFmtId="37" fontId="0" fillId="0" borderId="0" xfId="0" applyNumberFormat="1"/>
    <xf numFmtId="37" fontId="0" fillId="0" borderId="3" xfId="0" applyNumberFormat="1" applyBorder="1"/>
    <xf numFmtId="37" fontId="0" fillId="0" borderId="4" xfId="0" applyNumberFormat="1" applyBorder="1"/>
    <xf numFmtId="37" fontId="0" fillId="0" borderId="5" xfId="0" applyNumberFormat="1" applyBorder="1"/>
    <xf numFmtId="17" fontId="0" fillId="0" borderId="0" xfId="0" applyNumberFormat="1" applyAlignment="1">
      <alignment horizontal="left"/>
    </xf>
    <xf numFmtId="0" fontId="2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9" fontId="0" fillId="0" borderId="0" xfId="2" applyFont="1"/>
    <xf numFmtId="0" fontId="5" fillId="0" borderId="0" xfId="0" applyFont="1"/>
    <xf numFmtId="0" fontId="5" fillId="0" borderId="0" xfId="0" applyFont="1" applyAlignment="1">
      <alignment horizontal="center"/>
    </xf>
    <xf numFmtId="37" fontId="5" fillId="0" borderId="0" xfId="0" applyNumberFormat="1" applyFont="1" applyAlignment="1"/>
    <xf numFmtId="37" fontId="5" fillId="0" borderId="0" xfId="0" applyNumberFormat="1" applyFont="1" applyAlignment="1">
      <alignment horizontal="right"/>
    </xf>
    <xf numFmtId="10" fontId="5" fillId="0" borderId="0" xfId="0" applyNumberFormat="1" applyFont="1"/>
    <xf numFmtId="37" fontId="5" fillId="0" borderId="3" xfId="0" applyNumberFormat="1" applyFont="1" applyBorder="1" applyAlignment="1"/>
    <xf numFmtId="37" fontId="5" fillId="0" borderId="3" xfId="0" applyNumberFormat="1" applyFont="1" applyBorder="1" applyAlignment="1">
      <alignment horizontal="right"/>
    </xf>
    <xf numFmtId="10" fontId="5" fillId="0" borderId="3" xfId="0" applyNumberFormat="1" applyFont="1" applyBorder="1"/>
    <xf numFmtId="37" fontId="5" fillId="0" borderId="4" xfId="0" applyNumberFormat="1" applyFont="1" applyBorder="1" applyAlignment="1"/>
    <xf numFmtId="0" fontId="5" fillId="0" borderId="0" xfId="0" applyFont="1" applyBorder="1"/>
    <xf numFmtId="37" fontId="5" fillId="0" borderId="4" xfId="0" applyNumberFormat="1" applyFont="1" applyBorder="1" applyAlignment="1">
      <alignment horizontal="right"/>
    </xf>
    <xf numFmtId="10" fontId="5" fillId="0" borderId="4" xfId="0" applyNumberFormat="1" applyFont="1" applyBorder="1"/>
    <xf numFmtId="37" fontId="5" fillId="0" borderId="5" xfId="0" applyNumberFormat="1" applyFont="1" applyBorder="1" applyAlignment="1"/>
    <xf numFmtId="37" fontId="5" fillId="0" borderId="5" xfId="0" applyNumberFormat="1" applyFont="1" applyBorder="1" applyAlignment="1">
      <alignment horizontal="right"/>
    </xf>
    <xf numFmtId="10" fontId="5" fillId="0" borderId="5" xfId="0" applyNumberFormat="1" applyFont="1" applyBorder="1"/>
    <xf numFmtId="37" fontId="5" fillId="0" borderId="0" xfId="0" applyNumberFormat="1" applyFont="1" applyBorder="1" applyAlignment="1"/>
    <xf numFmtId="37" fontId="5" fillId="0" borderId="0" xfId="0" applyNumberFormat="1" applyFont="1" applyBorder="1" applyAlignment="1">
      <alignment horizontal="right"/>
    </xf>
    <xf numFmtId="10" fontId="5" fillId="0" borderId="0" xfId="0" applyNumberFormat="1" applyFont="1" applyBorder="1"/>
    <xf numFmtId="37" fontId="5" fillId="0" borderId="0" xfId="0" applyNumberFormat="1" applyFont="1"/>
    <xf numFmtId="39" fontId="5" fillId="0" borderId="0" xfId="0" applyNumberFormat="1" applyFont="1"/>
    <xf numFmtId="169" fontId="5" fillId="0" borderId="0" xfId="0" applyNumberFormat="1" applyFont="1"/>
    <xf numFmtId="37" fontId="5" fillId="0" borderId="3" xfId="0" applyNumberFormat="1" applyFont="1" applyBorder="1"/>
    <xf numFmtId="37" fontId="5" fillId="0" borderId="4" xfId="0" applyNumberFormat="1" applyFont="1" applyBorder="1"/>
    <xf numFmtId="37" fontId="5" fillId="0" borderId="2" xfId="0" applyNumberFormat="1" applyFont="1" applyBorder="1"/>
    <xf numFmtId="10" fontId="5" fillId="0" borderId="2" xfId="0" applyNumberFormat="1" applyFont="1" applyBorder="1"/>
    <xf numFmtId="3" fontId="5" fillId="0" borderId="0" xfId="0" applyNumberFormat="1" applyFont="1"/>
    <xf numFmtId="170" fontId="5" fillId="0" borderId="0" xfId="0" applyNumberFormat="1" applyFont="1"/>
    <xf numFmtId="0" fontId="5" fillId="0" borderId="3" xfId="0" applyFont="1" applyBorder="1"/>
    <xf numFmtId="9" fontId="5" fillId="0" borderId="0" xfId="2" applyFont="1"/>
    <xf numFmtId="165" fontId="5" fillId="0" borderId="0" xfId="1" applyNumberFormat="1" applyFont="1" applyAlignment="1">
      <alignment horizontal="center"/>
    </xf>
    <xf numFmtId="37" fontId="5" fillId="0" borderId="0" xfId="0" applyNumberFormat="1" applyFont="1" applyFill="1"/>
    <xf numFmtId="0" fontId="5" fillId="0" borderId="0" xfId="0" applyFont="1" applyFill="1"/>
    <xf numFmtId="171" fontId="5" fillId="0" borderId="0" xfId="0" applyNumberFormat="1" applyFont="1" applyFill="1"/>
    <xf numFmtId="172" fontId="5" fillId="0" borderId="0" xfId="0" applyNumberFormat="1" applyFont="1" applyFill="1"/>
    <xf numFmtId="43" fontId="5" fillId="0" borderId="0" xfId="0" applyNumberFormat="1" applyFont="1"/>
    <xf numFmtId="165" fontId="5" fillId="0" borderId="0" xfId="1" applyNumberFormat="1" applyFont="1" applyFill="1"/>
    <xf numFmtId="37" fontId="5" fillId="0" borderId="2" xfId="0" applyNumberFormat="1" applyFont="1" applyBorder="1" applyAlignment="1"/>
    <xf numFmtId="37" fontId="5" fillId="0" borderId="2" xfId="0" applyNumberFormat="1" applyFont="1" applyBorder="1" applyAlignment="1">
      <alignment horizontal="right"/>
    </xf>
    <xf numFmtId="37" fontId="0" fillId="0" borderId="0" xfId="0" applyNumberFormat="1" applyBorder="1"/>
    <xf numFmtId="43" fontId="0" fillId="0" borderId="3" xfId="1" applyFont="1" applyBorder="1"/>
    <xf numFmtId="3" fontId="5" fillId="0" borderId="0" xfId="1" applyNumberFormat="1" applyFont="1" applyFill="1"/>
    <xf numFmtId="37" fontId="2" fillId="0" borderId="0" xfId="0" applyNumberFormat="1" applyFont="1"/>
    <xf numFmtId="43" fontId="0" fillId="0" borderId="6" xfId="1" applyFont="1" applyBorder="1"/>
    <xf numFmtId="16" fontId="0" fillId="0" borderId="0" xfId="0" applyNumberFormat="1"/>
    <xf numFmtId="14" fontId="0" fillId="0" borderId="0" xfId="0" applyNumberFormat="1" applyAlignment="1">
      <alignment horizontal="right"/>
    </xf>
    <xf numFmtId="169" fontId="7" fillId="0" borderId="0" xfId="0" applyNumberFormat="1" applyFont="1" applyAlignment="1"/>
    <xf numFmtId="43" fontId="0" fillId="0" borderId="0" xfId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49" fontId="6" fillId="0" borderId="0" xfId="0" applyNumberFormat="1" applyFont="1" applyAlignment="1">
      <alignment horizontal="center"/>
    </xf>
    <xf numFmtId="49" fontId="0" fillId="0" borderId="0" xfId="0" applyNumberForma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Admissions</a:t>
            </a:r>
          </a:p>
        </c:rich>
      </c:tx>
      <c:layout>
        <c:manualLayout>
          <c:xMode val="edge"/>
          <c:yMode val="edge"/>
          <c:x val="0.33333388013998272"/>
          <c:y val="3.5947712418300665E-2"/>
        </c:manualLayout>
      </c:layout>
      <c:spPr>
        <a:noFill/>
        <a:ln w="25400">
          <a:noFill/>
        </a:ln>
      </c:spPr>
    </c:title>
    <c:view3D>
      <c:hPercent val="40"/>
      <c:depthPercent val="100"/>
      <c:rAngAx val="1"/>
    </c:view3D>
    <c:floor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0010596399258E-2"/>
          <c:y val="0.23856285284815681"/>
          <c:w val="0.81076526347734834"/>
          <c:h val="0.55228934426491072"/>
        </c:manualLayout>
      </c:layout>
      <c:bar3DChart>
        <c:barDir val="col"/>
        <c:grouping val="clustered"/>
        <c:ser>
          <c:idx val="0"/>
          <c:order val="0"/>
          <c:tx>
            <c:strRef>
              <c:f>Admissions!$B$4</c:f>
              <c:strCache>
                <c:ptCount val="1"/>
                <c:pt idx="0">
                  <c:v>2000</c:v>
                </c:pt>
              </c:strCache>
            </c:strRef>
          </c:tx>
          <c:spPr>
            <a:pattFill prst="dashDnDiag">
              <a:fgClr>
                <a:srgbClr val="80008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Admissions!$A$5:$A$16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Admissions!$B$5:$B$16</c:f>
            </c:numRef>
          </c:val>
        </c:ser>
        <c:ser>
          <c:idx val="1"/>
          <c:order val="1"/>
          <c:tx>
            <c:strRef>
              <c:f>Admissions!$C$4</c:f>
              <c:strCache>
                <c:ptCount val="1"/>
                <c:pt idx="0">
                  <c:v>2001</c:v>
                </c:pt>
              </c:strCache>
            </c:strRef>
          </c:tx>
          <c:spPr>
            <a:pattFill prst="wdDnDiag">
              <a:fgClr>
                <a:srgbClr val="FF66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Admissions!$A$5:$A$16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Admissions!$C$5:$C$16</c:f>
            </c:numRef>
          </c:val>
        </c:ser>
        <c:ser>
          <c:idx val="2"/>
          <c:order val="2"/>
          <c:tx>
            <c:strRef>
              <c:f>Admissions!$D$4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Ref>
              <c:f>Admissions!$A$5:$A$16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Admissions!$D$5:$D$16</c:f>
            </c:numRef>
          </c:val>
        </c:ser>
        <c:ser>
          <c:idx val="3"/>
          <c:order val="3"/>
          <c:tx>
            <c:strRef>
              <c:f>Admissions!$E$4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Admissions!$A$5:$A$16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Admissions!$E$5:$E$16</c:f>
              <c:numCache>
                <c:formatCode>General</c:formatCode>
                <c:ptCount val="12"/>
                <c:pt idx="0">
                  <c:v>202</c:v>
                </c:pt>
                <c:pt idx="1">
                  <c:v>266</c:v>
                </c:pt>
                <c:pt idx="2">
                  <c:v>276</c:v>
                </c:pt>
                <c:pt idx="3">
                  <c:v>225</c:v>
                </c:pt>
                <c:pt idx="4">
                  <c:v>184</c:v>
                </c:pt>
                <c:pt idx="5">
                  <c:v>210</c:v>
                </c:pt>
                <c:pt idx="6">
                  <c:v>199</c:v>
                </c:pt>
                <c:pt idx="7">
                  <c:v>192</c:v>
                </c:pt>
                <c:pt idx="8">
                  <c:v>209</c:v>
                </c:pt>
                <c:pt idx="9">
                  <c:v>194</c:v>
                </c:pt>
                <c:pt idx="10">
                  <c:v>201</c:v>
                </c:pt>
                <c:pt idx="11">
                  <c:v>180</c:v>
                </c:pt>
              </c:numCache>
            </c:numRef>
          </c:val>
        </c:ser>
        <c:ser>
          <c:idx val="4"/>
          <c:order val="4"/>
          <c:tx>
            <c:strRef>
              <c:f>Admissions!$F$4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Admissions!$A$5:$A$16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Admissions!$F$5:$F$16</c:f>
              <c:numCache>
                <c:formatCode>General</c:formatCode>
                <c:ptCount val="12"/>
                <c:pt idx="0">
                  <c:v>181</c:v>
                </c:pt>
                <c:pt idx="1">
                  <c:v>152</c:v>
                </c:pt>
                <c:pt idx="2">
                  <c:v>190</c:v>
                </c:pt>
                <c:pt idx="3">
                  <c:v>161</c:v>
                </c:pt>
                <c:pt idx="4">
                  <c:v>166</c:v>
                </c:pt>
                <c:pt idx="5">
                  <c:v>195</c:v>
                </c:pt>
                <c:pt idx="6">
                  <c:v>168</c:v>
                </c:pt>
                <c:pt idx="7">
                  <c:v>188</c:v>
                </c:pt>
                <c:pt idx="8">
                  <c:v>144</c:v>
                </c:pt>
                <c:pt idx="9">
                  <c:v>186</c:v>
                </c:pt>
                <c:pt idx="10">
                  <c:v>170</c:v>
                </c:pt>
                <c:pt idx="11">
                  <c:v>183</c:v>
                </c:pt>
              </c:numCache>
            </c:numRef>
          </c:val>
        </c:ser>
        <c:ser>
          <c:idx val="5"/>
          <c:order val="5"/>
          <c:tx>
            <c:strRef>
              <c:f>Admissions!$G$4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Admissions!$A$5:$A$16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Admissions!$G$5:$G$16</c:f>
              <c:numCache>
                <c:formatCode>General</c:formatCode>
                <c:ptCount val="12"/>
                <c:pt idx="0">
                  <c:v>180</c:v>
                </c:pt>
                <c:pt idx="1">
                  <c:v>154</c:v>
                </c:pt>
                <c:pt idx="2">
                  <c:v>180</c:v>
                </c:pt>
                <c:pt idx="3">
                  <c:v>170</c:v>
                </c:pt>
                <c:pt idx="4">
                  <c:v>172</c:v>
                </c:pt>
                <c:pt idx="5">
                  <c:v>162</c:v>
                </c:pt>
                <c:pt idx="6">
                  <c:v>150</c:v>
                </c:pt>
                <c:pt idx="7">
                  <c:v>155</c:v>
                </c:pt>
                <c:pt idx="8">
                  <c:v>165</c:v>
                </c:pt>
                <c:pt idx="9">
                  <c:v>155</c:v>
                </c:pt>
                <c:pt idx="10">
                  <c:v>163</c:v>
                </c:pt>
                <c:pt idx="11">
                  <c:v>153</c:v>
                </c:pt>
              </c:numCache>
            </c:numRef>
          </c:val>
        </c:ser>
        <c:ser>
          <c:idx val="6"/>
          <c:order val="6"/>
          <c:tx>
            <c:strRef>
              <c:f>Admissions!$H$4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Admissions!$A$5:$A$16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Admissions!$H$5:$H$16</c:f>
              <c:numCache>
                <c:formatCode>General</c:formatCode>
                <c:ptCount val="12"/>
                <c:pt idx="0">
                  <c:v>139</c:v>
                </c:pt>
                <c:pt idx="1">
                  <c:v>161</c:v>
                </c:pt>
                <c:pt idx="2">
                  <c:v>152</c:v>
                </c:pt>
                <c:pt idx="3">
                  <c:v>150</c:v>
                </c:pt>
                <c:pt idx="4">
                  <c:v>132</c:v>
                </c:pt>
                <c:pt idx="5">
                  <c:v>140</c:v>
                </c:pt>
                <c:pt idx="6">
                  <c:v>112</c:v>
                </c:pt>
                <c:pt idx="7">
                  <c:v>117</c:v>
                </c:pt>
                <c:pt idx="8">
                  <c:v>126</c:v>
                </c:pt>
                <c:pt idx="9">
                  <c:v>108</c:v>
                </c:pt>
                <c:pt idx="10">
                  <c:v>108</c:v>
                </c:pt>
                <c:pt idx="11">
                  <c:v>141</c:v>
                </c:pt>
              </c:numCache>
            </c:numRef>
          </c:val>
        </c:ser>
        <c:shape val="box"/>
        <c:axId val="71287168"/>
        <c:axId val="71288704"/>
        <c:axId val="0"/>
      </c:bar3DChart>
      <c:catAx>
        <c:axId val="7128716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88704"/>
        <c:crosses val="autoZero"/>
        <c:auto val="1"/>
        <c:lblAlgn val="ctr"/>
        <c:lblOffset val="100"/>
        <c:tickLblSkip val="1"/>
        <c:tickMarkSkip val="1"/>
      </c:catAx>
      <c:valAx>
        <c:axId val="71288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87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062645815106434"/>
          <c:y val="0.39542620897877989"/>
          <c:w val="0.98611275153105826"/>
          <c:h val="0.699348806889335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2005 - 08 Patient Days</a:t>
            </a:r>
          </a:p>
        </c:rich>
      </c:tx>
      <c:layout>
        <c:manualLayout>
          <c:xMode val="edge"/>
          <c:yMode val="edge"/>
          <c:x val="0.33545714429008489"/>
          <c:y val="3.7037037037037049E-2"/>
        </c:manualLayout>
      </c:layout>
      <c:spPr>
        <a:noFill/>
        <a:ln w="25400">
          <a:noFill/>
        </a:ln>
      </c:spPr>
    </c:title>
    <c:view3D>
      <c:rotX val="3"/>
      <c:hPercent val="49"/>
      <c:rotY val="1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1295306062786297E-2"/>
          <c:y val="0.2296304601796158"/>
          <c:w val="0.76857908824950316"/>
          <c:h val="0.58518730174805278"/>
        </c:manualLayout>
      </c:layout>
      <c:bar3DChart>
        <c:barDir val="col"/>
        <c:grouping val="clustered"/>
        <c:ser>
          <c:idx val="0"/>
          <c:order val="0"/>
          <c:tx>
            <c:strRef>
              <c:f>'Patient Days'!$C$4</c:f>
              <c:strCache>
                <c:ptCount val="1"/>
                <c:pt idx="0">
                  <c:v>2001</c:v>
                </c:pt>
              </c:strCache>
            </c:strRef>
          </c:tx>
          <c:spPr>
            <a:pattFill prst="dashDnDiag">
              <a:fgClr>
                <a:srgbClr val="993366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'Patient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'Patient Days'!$C$5:$C$16</c:f>
            </c:numRef>
          </c:val>
        </c:ser>
        <c:ser>
          <c:idx val="1"/>
          <c:order val="1"/>
          <c:tx>
            <c:strRef>
              <c:f>'Patient Days'!$D$4</c:f>
              <c:strCache>
                <c:ptCount val="1"/>
                <c:pt idx="0">
                  <c:v>2004</c:v>
                </c:pt>
              </c:strCache>
            </c:strRef>
          </c:tx>
          <c:spPr>
            <a:pattFill prst="wdDnDiag">
              <a:fgClr>
                <a:srgbClr val="FF66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'Patient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'Patient Days'!$D$5:$D$16</c:f>
            </c:numRef>
          </c:val>
        </c:ser>
        <c:ser>
          <c:idx val="2"/>
          <c:order val="2"/>
          <c:tx>
            <c:strRef>
              <c:f>'Patient Days'!$E$4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'Patient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'Patient Days'!$E$5:$E$16</c:f>
              <c:numCache>
                <c:formatCode>General</c:formatCode>
                <c:ptCount val="12"/>
                <c:pt idx="0">
                  <c:v>809</c:v>
                </c:pt>
                <c:pt idx="1">
                  <c:v>995</c:v>
                </c:pt>
                <c:pt idx="2">
                  <c:v>1175</c:v>
                </c:pt>
                <c:pt idx="3">
                  <c:v>975</c:v>
                </c:pt>
                <c:pt idx="4">
                  <c:v>715</c:v>
                </c:pt>
                <c:pt idx="5">
                  <c:v>858</c:v>
                </c:pt>
                <c:pt idx="6">
                  <c:v>869</c:v>
                </c:pt>
                <c:pt idx="7">
                  <c:v>759</c:v>
                </c:pt>
                <c:pt idx="8">
                  <c:v>741</c:v>
                </c:pt>
                <c:pt idx="9">
                  <c:v>855</c:v>
                </c:pt>
                <c:pt idx="10">
                  <c:v>895</c:v>
                </c:pt>
                <c:pt idx="11">
                  <c:v>710</c:v>
                </c:pt>
              </c:numCache>
            </c:numRef>
          </c:val>
        </c:ser>
        <c:ser>
          <c:idx val="3"/>
          <c:order val="3"/>
          <c:tx>
            <c:strRef>
              <c:f>'Patient Days'!$F$4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'Patient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'Patient Days'!$F$5:$F$16</c:f>
              <c:numCache>
                <c:formatCode>General</c:formatCode>
                <c:ptCount val="12"/>
                <c:pt idx="0">
                  <c:v>659</c:v>
                </c:pt>
                <c:pt idx="1">
                  <c:v>624</c:v>
                </c:pt>
                <c:pt idx="2">
                  <c:v>687</c:v>
                </c:pt>
                <c:pt idx="3">
                  <c:v>609</c:v>
                </c:pt>
                <c:pt idx="4">
                  <c:v>666</c:v>
                </c:pt>
                <c:pt idx="5">
                  <c:v>743</c:v>
                </c:pt>
                <c:pt idx="6">
                  <c:v>691</c:v>
                </c:pt>
                <c:pt idx="7">
                  <c:v>695</c:v>
                </c:pt>
                <c:pt idx="8">
                  <c:v>569</c:v>
                </c:pt>
                <c:pt idx="9">
                  <c:v>774</c:v>
                </c:pt>
                <c:pt idx="10">
                  <c:v>662</c:v>
                </c:pt>
                <c:pt idx="11">
                  <c:v>758</c:v>
                </c:pt>
              </c:numCache>
            </c:numRef>
          </c:val>
        </c:ser>
        <c:ser>
          <c:idx val="4"/>
          <c:order val="4"/>
          <c:tx>
            <c:strRef>
              <c:f>'Patient Days'!$G$4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'Patient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'Patient Days'!$G$5:$G$16</c:f>
              <c:numCache>
                <c:formatCode>General</c:formatCode>
                <c:ptCount val="12"/>
                <c:pt idx="0">
                  <c:v>798</c:v>
                </c:pt>
                <c:pt idx="1">
                  <c:v>613</c:v>
                </c:pt>
                <c:pt idx="2">
                  <c:v>728</c:v>
                </c:pt>
                <c:pt idx="3">
                  <c:v>762</c:v>
                </c:pt>
                <c:pt idx="4">
                  <c:v>700</c:v>
                </c:pt>
                <c:pt idx="5">
                  <c:v>654</c:v>
                </c:pt>
                <c:pt idx="6">
                  <c:v>673</c:v>
                </c:pt>
                <c:pt idx="7">
                  <c:v>689</c:v>
                </c:pt>
                <c:pt idx="8">
                  <c:v>665</c:v>
                </c:pt>
                <c:pt idx="9">
                  <c:v>616</c:v>
                </c:pt>
                <c:pt idx="10">
                  <c:v>643</c:v>
                </c:pt>
                <c:pt idx="11">
                  <c:v>680</c:v>
                </c:pt>
              </c:numCache>
            </c:numRef>
          </c:val>
        </c:ser>
        <c:ser>
          <c:idx val="5"/>
          <c:order val="5"/>
          <c:tx>
            <c:strRef>
              <c:f>'Patient Days'!$H$4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'Patient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'Patient Days'!$H$5:$H$16</c:f>
              <c:numCache>
                <c:formatCode>General</c:formatCode>
                <c:ptCount val="12"/>
                <c:pt idx="0">
                  <c:v>575</c:v>
                </c:pt>
                <c:pt idx="1">
                  <c:v>719</c:v>
                </c:pt>
                <c:pt idx="2">
                  <c:v>695</c:v>
                </c:pt>
                <c:pt idx="3">
                  <c:v>601</c:v>
                </c:pt>
                <c:pt idx="4">
                  <c:v>568</c:v>
                </c:pt>
                <c:pt idx="5">
                  <c:v>591</c:v>
                </c:pt>
                <c:pt idx="6">
                  <c:v>404</c:v>
                </c:pt>
                <c:pt idx="7">
                  <c:v>418</c:v>
                </c:pt>
                <c:pt idx="8">
                  <c:v>405</c:v>
                </c:pt>
                <c:pt idx="9">
                  <c:v>416</c:v>
                </c:pt>
                <c:pt idx="10">
                  <c:v>414</c:v>
                </c:pt>
                <c:pt idx="11">
                  <c:v>466</c:v>
                </c:pt>
              </c:numCache>
            </c:numRef>
          </c:val>
        </c:ser>
        <c:shape val="box"/>
        <c:axId val="72100864"/>
        <c:axId val="72119040"/>
        <c:axId val="0"/>
      </c:bar3DChart>
      <c:catAx>
        <c:axId val="7210086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19040"/>
        <c:crosses val="autoZero"/>
        <c:auto val="1"/>
        <c:lblAlgn val="ctr"/>
        <c:lblOffset val="100"/>
        <c:tickLblSkip val="2"/>
        <c:tickMarkSkip val="1"/>
      </c:catAx>
      <c:valAx>
        <c:axId val="72119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00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384467069004925"/>
          <c:y val="0.42963118499076502"/>
          <c:w val="0.98301686811441558"/>
          <c:h val="0.7148175366968019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&amp;R7
</c:oddFooter>
    </c:headerFooter>
    <c:pageMargins b="1" l="0.37000000000000011" r="0.33000000000000013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Adjusted Patient Days</a:t>
            </a:r>
          </a:p>
        </c:rich>
      </c:tx>
      <c:layout>
        <c:manualLayout>
          <c:xMode val="edge"/>
          <c:yMode val="edge"/>
          <c:x val="0.2799227799227802"/>
          <c:y val="3.875968992248062E-2"/>
        </c:manualLayout>
      </c:layout>
      <c:spPr>
        <a:noFill/>
        <a:ln w="25400">
          <a:noFill/>
        </a:ln>
      </c:spPr>
    </c:title>
    <c:view3D>
      <c:hPercent val="4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92664092664092"/>
          <c:y val="0.27519484009674816"/>
          <c:w val="0.70270270270270252"/>
          <c:h val="0.55814164752016571"/>
        </c:manualLayout>
      </c:layout>
      <c:bar3DChart>
        <c:barDir val="col"/>
        <c:grouping val="clustered"/>
        <c:ser>
          <c:idx val="0"/>
          <c:order val="0"/>
          <c:tx>
            <c:strRef>
              <c:f>'Adjusted Pt days'!$D$4</c:f>
              <c:strCache>
                <c:ptCount val="1"/>
                <c:pt idx="0">
                  <c:v>2004</c:v>
                </c:pt>
              </c:strCache>
            </c:strRef>
          </c:tx>
          <c:spPr>
            <a:pattFill prst="dashDnDiag">
              <a:fgClr>
                <a:srgbClr val="808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'Adjusted Pt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'Adjusted Pt days'!$D$5:$D$16</c:f>
            </c:numRef>
          </c:val>
        </c:ser>
        <c:ser>
          <c:idx val="1"/>
          <c:order val="1"/>
          <c:tx>
            <c:strRef>
              <c:f>'Adjusted Pt days'!$E$4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'Adjusted Pt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'Adjusted Pt days'!$E$5:$E$16</c:f>
              <c:numCache>
                <c:formatCode>_(* #,##0_);_(* \(#,##0\);_(* "-"??_);_(@_)</c:formatCode>
                <c:ptCount val="12"/>
                <c:pt idx="0">
                  <c:v>2101.4769352447702</c:v>
                </c:pt>
                <c:pt idx="1">
                  <c:v>2429.9715882322039</c:v>
                </c:pt>
                <c:pt idx="2">
                  <c:v>2511.3162945869281</c:v>
                </c:pt>
                <c:pt idx="3">
                  <c:v>2429.0291260953936</c:v>
                </c:pt>
                <c:pt idx="4">
                  <c:v>2199.6252829949149</c:v>
                </c:pt>
                <c:pt idx="5">
                  <c:v>3010.6987497700716</c:v>
                </c:pt>
                <c:pt idx="6">
                  <c:v>3021.6987497700716</c:v>
                </c:pt>
                <c:pt idx="7">
                  <c:v>2087.3408319281066</c:v>
                </c:pt>
                <c:pt idx="8">
                  <c:v>2052.8802535875348</c:v>
                </c:pt>
                <c:pt idx="9">
                  <c:v>2324.9739168969268</c:v>
                </c:pt>
                <c:pt idx="10">
                  <c:v>2165.705817043262</c:v>
                </c:pt>
                <c:pt idx="11">
                  <c:v>1821.1219875382183</c:v>
                </c:pt>
              </c:numCache>
            </c:numRef>
          </c:val>
        </c:ser>
        <c:ser>
          <c:idx val="2"/>
          <c:order val="2"/>
          <c:tx>
            <c:strRef>
              <c:f>'Adjusted Pt days'!$F$4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'Adjusted Pt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'Adjusted Pt days'!$F$5:$F$16</c:f>
              <c:numCache>
                <c:formatCode>_(* #,##0_);_(* \(#,##0\);_(* "-"??_);_(@_)</c:formatCode>
                <c:ptCount val="12"/>
                <c:pt idx="0">
                  <c:v>2233.4871816692666</c:v>
                </c:pt>
                <c:pt idx="1">
                  <c:v>2148.4365344069129</c:v>
                </c:pt>
                <c:pt idx="2">
                  <c:v>2244.9705215305294</c:v>
                </c:pt>
                <c:pt idx="3">
                  <c:v>2338.2555373217665</c:v>
                </c:pt>
                <c:pt idx="4">
                  <c:v>2053.3853042894334</c:v>
                </c:pt>
                <c:pt idx="5">
                  <c:v>2253.3003124862844</c:v>
                </c:pt>
                <c:pt idx="6">
                  <c:v>2609.9951005418025</c:v>
                </c:pt>
                <c:pt idx="7">
                  <c:v>1928.0036729480935</c:v>
                </c:pt>
                <c:pt idx="8">
                  <c:v>2806.2189873311963</c:v>
                </c:pt>
                <c:pt idx="9">
                  <c:v>2536.3861804040594</c:v>
                </c:pt>
                <c:pt idx="10">
                  <c:v>2442.853862590443</c:v>
                </c:pt>
                <c:pt idx="11">
                  <c:v>2619.35</c:v>
                </c:pt>
              </c:numCache>
            </c:numRef>
          </c:val>
        </c:ser>
        <c:ser>
          <c:idx val="3"/>
          <c:order val="3"/>
          <c:tx>
            <c:strRef>
              <c:f>'Adjusted Pt days'!$G$4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'Adjusted Pt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'Adjusted Pt days'!$G$5:$G$16</c:f>
              <c:numCache>
                <c:formatCode>_(* #,##0_);_(* \(#,##0\);_(* "-"??_);_(@_)</c:formatCode>
                <c:ptCount val="12"/>
                <c:pt idx="0">
                  <c:v>2847.6415227470497</c:v>
                </c:pt>
                <c:pt idx="1">
                  <c:v>2212.6515540364148</c:v>
                </c:pt>
                <c:pt idx="2">
                  <c:v>2220.498387749079</c:v>
                </c:pt>
                <c:pt idx="3">
                  <c:v>2408.7395075100549</c:v>
                </c:pt>
                <c:pt idx="4">
                  <c:v>2134.9218294485349</c:v>
                </c:pt>
                <c:pt idx="5">
                  <c:v>1947.7149577298833</c:v>
                </c:pt>
                <c:pt idx="6">
                  <c:v>2198.2844095811738</c:v>
                </c:pt>
                <c:pt idx="7">
                  <c:v>2189.6212510566693</c:v>
                </c:pt>
                <c:pt idx="8">
                  <c:v>1997.5052047851391</c:v>
                </c:pt>
                <c:pt idx="9">
                  <c:v>2048.8753740448806</c:v>
                </c:pt>
                <c:pt idx="10">
                  <c:v>1977.2222250155448</c:v>
                </c:pt>
                <c:pt idx="11">
                  <c:v>1869.6371757892498</c:v>
                </c:pt>
              </c:numCache>
            </c:numRef>
          </c:val>
        </c:ser>
        <c:ser>
          <c:idx val="4"/>
          <c:order val="4"/>
          <c:tx>
            <c:strRef>
              <c:f>'Adjusted Pt days'!$H$4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'Adjusted Pt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'Adjusted Pt days'!$H$5:$H$16</c:f>
              <c:numCache>
                <c:formatCode>_(* #,##0_);_(* \(#,##0\);_(* "-"??_);_(@_)</c:formatCode>
                <c:ptCount val="12"/>
                <c:pt idx="0">
                  <c:v>2079.6410232752569</c:v>
                </c:pt>
                <c:pt idx="1">
                  <c:v>2021.7838690337949</c:v>
                </c:pt>
                <c:pt idx="2">
                  <c:v>1991.9881048138545</c:v>
                </c:pt>
                <c:pt idx="3">
                  <c:v>1656.089182845192</c:v>
                </c:pt>
                <c:pt idx="4">
                  <c:v>2004.8577037855543</c:v>
                </c:pt>
                <c:pt idx="5">
                  <c:v>1753.5744338131158</c:v>
                </c:pt>
                <c:pt idx="6">
                  <c:v>1523.0601583642379</c:v>
                </c:pt>
                <c:pt idx="7">
                  <c:v>1382.1952944730447</c:v>
                </c:pt>
                <c:pt idx="8">
                  <c:v>1108.8549081341241</c:v>
                </c:pt>
                <c:pt idx="9">
                  <c:v>1388.4502900116004</c:v>
                </c:pt>
                <c:pt idx="10">
                  <c:v>1460.9303047780882</c:v>
                </c:pt>
                <c:pt idx="11">
                  <c:v>1693.086456294883</c:v>
                </c:pt>
              </c:numCache>
            </c:numRef>
          </c:val>
        </c:ser>
        <c:shape val="box"/>
        <c:axId val="72213248"/>
        <c:axId val="72214784"/>
        <c:axId val="0"/>
      </c:bar3DChart>
      <c:catAx>
        <c:axId val="7221324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14784"/>
        <c:crosses val="autoZero"/>
        <c:auto val="1"/>
        <c:lblAlgn val="ctr"/>
        <c:lblOffset val="100"/>
        <c:tickLblSkip val="2"/>
        <c:tickMarkSkip val="1"/>
      </c:catAx>
      <c:valAx>
        <c:axId val="722147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13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486486486486491"/>
          <c:y val="0.4069783718895606"/>
          <c:w val="0.98455598455598459"/>
          <c:h val="0.782948584915257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&amp;R8
</c:oddFooter>
    </c:headerFooter>
    <c:pageMargins b="1" l="0.75000000000000022" r="0.75000000000000022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2005 - 08 Surgeries</a:t>
            </a:r>
          </a:p>
        </c:rich>
      </c:tx>
      <c:layout>
        <c:manualLayout>
          <c:xMode val="edge"/>
          <c:yMode val="edge"/>
          <c:x val="0.35849056603773582"/>
          <c:y val="3.5842293906810048E-2"/>
        </c:manualLayout>
      </c:layout>
      <c:spPr>
        <a:noFill/>
        <a:ln w="25400">
          <a:noFill/>
        </a:ln>
      </c:spPr>
    </c:title>
    <c:view3D>
      <c:hPercent val="46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4905660377358541E-2"/>
          <c:y val="0.22580724198883426"/>
          <c:w val="0.8"/>
          <c:h val="0.63799506466686551"/>
        </c:manualLayout>
      </c:layout>
      <c:bar3DChart>
        <c:barDir val="col"/>
        <c:grouping val="clustered"/>
        <c:ser>
          <c:idx val="0"/>
          <c:order val="0"/>
          <c:tx>
            <c:strRef>
              <c:f>Surgeries!$C$4</c:f>
              <c:strCache>
                <c:ptCount val="1"/>
                <c:pt idx="0">
                  <c:v>2001</c:v>
                </c:pt>
              </c:strCache>
            </c:strRef>
          </c:tx>
          <c:spPr>
            <a:pattFill prst="dashDnDiag">
              <a:fgClr>
                <a:srgbClr val="808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Surgeries!$A$5:$A$16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Surgeries!$C$5:$C$16</c:f>
            </c:numRef>
          </c:val>
        </c:ser>
        <c:ser>
          <c:idx val="1"/>
          <c:order val="1"/>
          <c:tx>
            <c:strRef>
              <c:f>Surgeries!$D$4</c:f>
              <c:strCache>
                <c:ptCount val="1"/>
                <c:pt idx="0">
                  <c:v>2004</c:v>
                </c:pt>
              </c:strCache>
            </c:strRef>
          </c:tx>
          <c:spPr>
            <a:pattFill prst="wdDnDiag">
              <a:fgClr>
                <a:srgbClr val="FF66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Surgeries!$A$5:$A$16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Surgeries!$D$5:$D$16</c:f>
            </c:numRef>
          </c:val>
        </c:ser>
        <c:ser>
          <c:idx val="2"/>
          <c:order val="2"/>
          <c:tx>
            <c:strRef>
              <c:f>Surgeries!$E$4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Surgeries!$A$5:$A$16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Surgeries!$E$5:$E$16</c:f>
              <c:numCache>
                <c:formatCode>General</c:formatCode>
                <c:ptCount val="12"/>
                <c:pt idx="0">
                  <c:v>191</c:v>
                </c:pt>
                <c:pt idx="1">
                  <c:v>174</c:v>
                </c:pt>
                <c:pt idx="2">
                  <c:v>251</c:v>
                </c:pt>
                <c:pt idx="3">
                  <c:v>200</c:v>
                </c:pt>
                <c:pt idx="4">
                  <c:v>210</c:v>
                </c:pt>
                <c:pt idx="5">
                  <c:v>219</c:v>
                </c:pt>
                <c:pt idx="6">
                  <c:v>204</c:v>
                </c:pt>
                <c:pt idx="7">
                  <c:v>255</c:v>
                </c:pt>
                <c:pt idx="8">
                  <c:v>222</c:v>
                </c:pt>
                <c:pt idx="9">
                  <c:v>210</c:v>
                </c:pt>
                <c:pt idx="10">
                  <c:v>249</c:v>
                </c:pt>
                <c:pt idx="11">
                  <c:v>200</c:v>
                </c:pt>
              </c:numCache>
            </c:numRef>
          </c:val>
        </c:ser>
        <c:ser>
          <c:idx val="3"/>
          <c:order val="3"/>
          <c:tx>
            <c:strRef>
              <c:f>Surgeries!$F$4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Surgeries!$A$5:$A$16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Surgeries!$F$5:$F$16</c:f>
              <c:numCache>
                <c:formatCode>General</c:formatCode>
                <c:ptCount val="12"/>
                <c:pt idx="0">
                  <c:v>215</c:v>
                </c:pt>
                <c:pt idx="1">
                  <c:v>212</c:v>
                </c:pt>
                <c:pt idx="2">
                  <c:v>199</c:v>
                </c:pt>
                <c:pt idx="3">
                  <c:v>229</c:v>
                </c:pt>
                <c:pt idx="4">
                  <c:v>234</c:v>
                </c:pt>
                <c:pt idx="5">
                  <c:v>248</c:v>
                </c:pt>
                <c:pt idx="6">
                  <c:v>212</c:v>
                </c:pt>
                <c:pt idx="7">
                  <c:v>269</c:v>
                </c:pt>
                <c:pt idx="8">
                  <c:v>200</c:v>
                </c:pt>
                <c:pt idx="9">
                  <c:v>201</c:v>
                </c:pt>
                <c:pt idx="10">
                  <c:v>220</c:v>
                </c:pt>
                <c:pt idx="11">
                  <c:v>224</c:v>
                </c:pt>
              </c:numCache>
            </c:numRef>
          </c:val>
        </c:ser>
        <c:ser>
          <c:idx val="4"/>
          <c:order val="4"/>
          <c:tx>
            <c:strRef>
              <c:f>Surgeries!$G$4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Surgeries!$A$5:$A$16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Surgeries!$G$5:$G$16</c:f>
              <c:numCache>
                <c:formatCode>General</c:formatCode>
                <c:ptCount val="12"/>
                <c:pt idx="0">
                  <c:v>248</c:v>
                </c:pt>
                <c:pt idx="1">
                  <c:v>172</c:v>
                </c:pt>
                <c:pt idx="2">
                  <c:v>177</c:v>
                </c:pt>
                <c:pt idx="3">
                  <c:v>228</c:v>
                </c:pt>
                <c:pt idx="4">
                  <c:v>219</c:v>
                </c:pt>
                <c:pt idx="5">
                  <c:v>234</c:v>
                </c:pt>
                <c:pt idx="6" formatCode="0">
                  <c:v>191</c:v>
                </c:pt>
                <c:pt idx="7">
                  <c:v>257</c:v>
                </c:pt>
                <c:pt idx="8">
                  <c:v>216</c:v>
                </c:pt>
                <c:pt idx="9">
                  <c:v>236</c:v>
                </c:pt>
                <c:pt idx="10">
                  <c:v>165</c:v>
                </c:pt>
                <c:pt idx="11">
                  <c:v>186</c:v>
                </c:pt>
              </c:numCache>
            </c:numRef>
          </c:val>
        </c:ser>
        <c:ser>
          <c:idx val="5"/>
          <c:order val="5"/>
          <c:tx>
            <c:strRef>
              <c:f>Surgeries!$H$4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Surgeries!$A$5:$A$16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Surgeries!$H$5:$H$16</c:f>
              <c:numCache>
                <c:formatCode>General</c:formatCode>
                <c:ptCount val="12"/>
                <c:pt idx="0">
                  <c:v>174</c:v>
                </c:pt>
                <c:pt idx="1">
                  <c:v>184</c:v>
                </c:pt>
                <c:pt idx="2">
                  <c:v>159</c:v>
                </c:pt>
                <c:pt idx="3">
                  <c:v>191</c:v>
                </c:pt>
                <c:pt idx="4">
                  <c:v>230</c:v>
                </c:pt>
                <c:pt idx="5">
                  <c:v>180</c:v>
                </c:pt>
                <c:pt idx="6">
                  <c:v>226</c:v>
                </c:pt>
                <c:pt idx="7">
                  <c:v>220</c:v>
                </c:pt>
                <c:pt idx="8">
                  <c:v>188</c:v>
                </c:pt>
                <c:pt idx="9">
                  <c:v>208</c:v>
                </c:pt>
                <c:pt idx="10">
                  <c:v>150</c:v>
                </c:pt>
                <c:pt idx="11">
                  <c:v>203</c:v>
                </c:pt>
              </c:numCache>
            </c:numRef>
          </c:val>
        </c:ser>
        <c:shape val="box"/>
        <c:axId val="72383104"/>
        <c:axId val="72393088"/>
        <c:axId val="0"/>
      </c:bar3DChart>
      <c:catAx>
        <c:axId val="7238310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93088"/>
        <c:crosses val="autoZero"/>
        <c:auto val="1"/>
        <c:lblAlgn val="ctr"/>
        <c:lblOffset val="100"/>
        <c:tickLblSkip val="1"/>
        <c:tickMarkSkip val="1"/>
      </c:catAx>
      <c:valAx>
        <c:axId val="72393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83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622641509433953"/>
          <c:y val="0.433693261460597"/>
          <c:w val="0.97547169811320777"/>
          <c:h val="0.709680053434181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&amp;R9</c:oddFooter>
    </c:headerFooter>
    <c:pageMargins b="1" l="0.44" r="0.4" t="1" header="0.5" footer="0.5"/>
    <c:pageSetup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2003 - 07 ER Visits</a:t>
            </a:r>
          </a:p>
        </c:rich>
      </c:tx>
      <c:layout>
        <c:manualLayout>
          <c:xMode val="edge"/>
          <c:yMode val="edge"/>
          <c:x val="0.36382177837526436"/>
          <c:y val="5.3846153846153863E-2"/>
        </c:manualLayout>
      </c:layout>
      <c:spPr>
        <a:noFill/>
        <a:ln w="25400">
          <a:noFill/>
        </a:ln>
      </c:spPr>
    </c:title>
    <c:view3D>
      <c:hPercent val="4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496120538222052E-2"/>
          <c:y val="0.22692307692307687"/>
          <c:w val="0.77439178097962114"/>
          <c:h val="0.63076923076923075"/>
        </c:manualLayout>
      </c:layout>
      <c:bar3DChart>
        <c:barDir val="col"/>
        <c:grouping val="clustered"/>
        <c:ser>
          <c:idx val="0"/>
          <c:order val="0"/>
          <c:tx>
            <c:strRef>
              <c:f>'ER Visits'!$D$4</c:f>
              <c:strCache>
                <c:ptCount val="1"/>
                <c:pt idx="0">
                  <c:v>2004</c:v>
                </c:pt>
              </c:strCache>
            </c:strRef>
          </c:tx>
          <c:spPr>
            <a:pattFill prst="dashDnDiag">
              <a:fgClr>
                <a:srgbClr val="808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'ER Visits'!$A$5:$A$16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'ER Visits'!$D$5:$D$16</c:f>
            </c:numRef>
          </c:val>
        </c:ser>
        <c:ser>
          <c:idx val="1"/>
          <c:order val="1"/>
          <c:tx>
            <c:strRef>
              <c:f>'ER Visits'!$E$4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'ER Visits'!$A$5:$A$16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'ER Visits'!$E$5:$E$16</c:f>
              <c:numCache>
                <c:formatCode>General</c:formatCode>
                <c:ptCount val="12"/>
                <c:pt idx="0">
                  <c:v>954</c:v>
                </c:pt>
                <c:pt idx="1">
                  <c:v>1033</c:v>
                </c:pt>
                <c:pt idx="2">
                  <c:v>1128</c:v>
                </c:pt>
                <c:pt idx="3">
                  <c:v>998</c:v>
                </c:pt>
                <c:pt idx="4">
                  <c:v>1001</c:v>
                </c:pt>
                <c:pt idx="5">
                  <c:v>1055</c:v>
                </c:pt>
                <c:pt idx="6">
                  <c:v>1111</c:v>
                </c:pt>
                <c:pt idx="7">
                  <c:v>1062</c:v>
                </c:pt>
                <c:pt idx="8">
                  <c:v>1036</c:v>
                </c:pt>
                <c:pt idx="9">
                  <c:v>966</c:v>
                </c:pt>
                <c:pt idx="10">
                  <c:v>974</c:v>
                </c:pt>
                <c:pt idx="11">
                  <c:v>877</c:v>
                </c:pt>
              </c:numCache>
            </c:numRef>
          </c:val>
        </c:ser>
        <c:ser>
          <c:idx val="2"/>
          <c:order val="2"/>
          <c:tx>
            <c:strRef>
              <c:f>'ER Visits'!$F$4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'ER Visits'!$A$5:$A$16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'ER Visits'!$F$5:$F$16</c:f>
              <c:numCache>
                <c:formatCode>General</c:formatCode>
                <c:ptCount val="12"/>
                <c:pt idx="0">
                  <c:v>1006</c:v>
                </c:pt>
                <c:pt idx="1">
                  <c:v>852</c:v>
                </c:pt>
                <c:pt idx="2">
                  <c:v>1031</c:v>
                </c:pt>
                <c:pt idx="3">
                  <c:v>1093</c:v>
                </c:pt>
                <c:pt idx="4">
                  <c:v>1129</c:v>
                </c:pt>
                <c:pt idx="5">
                  <c:v>1024</c:v>
                </c:pt>
                <c:pt idx="6">
                  <c:v>1090</c:v>
                </c:pt>
                <c:pt idx="7">
                  <c:v>994</c:v>
                </c:pt>
                <c:pt idx="8">
                  <c:v>1020</c:v>
                </c:pt>
                <c:pt idx="9">
                  <c:v>1036</c:v>
                </c:pt>
                <c:pt idx="10">
                  <c:v>970</c:v>
                </c:pt>
                <c:pt idx="11">
                  <c:v>995</c:v>
                </c:pt>
              </c:numCache>
            </c:numRef>
          </c:val>
        </c:ser>
        <c:ser>
          <c:idx val="3"/>
          <c:order val="3"/>
          <c:tx>
            <c:strRef>
              <c:f>'ER Visits'!$G$4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'ER Visits'!$A$5:$A$16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'ER Visits'!$G$5:$G$16</c:f>
              <c:numCache>
                <c:formatCode>General</c:formatCode>
                <c:ptCount val="12"/>
                <c:pt idx="0">
                  <c:v>906</c:v>
                </c:pt>
                <c:pt idx="1">
                  <c:v>886</c:v>
                </c:pt>
                <c:pt idx="2">
                  <c:v>954</c:v>
                </c:pt>
                <c:pt idx="3">
                  <c:v>980</c:v>
                </c:pt>
                <c:pt idx="4">
                  <c:v>1002</c:v>
                </c:pt>
                <c:pt idx="5">
                  <c:v>963</c:v>
                </c:pt>
                <c:pt idx="6">
                  <c:v>1011</c:v>
                </c:pt>
                <c:pt idx="7">
                  <c:v>931</c:v>
                </c:pt>
                <c:pt idx="8">
                  <c:v>938</c:v>
                </c:pt>
                <c:pt idx="9">
                  <c:v>905</c:v>
                </c:pt>
                <c:pt idx="10">
                  <c:v>892</c:v>
                </c:pt>
                <c:pt idx="11">
                  <c:v>906</c:v>
                </c:pt>
              </c:numCache>
            </c:numRef>
          </c:val>
        </c:ser>
        <c:ser>
          <c:idx val="4"/>
          <c:order val="4"/>
          <c:tx>
            <c:strRef>
              <c:f>'ER Visits'!$H$4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'ER Visits'!$A$5:$A$16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'ER Visits'!$H$5:$H$16</c:f>
              <c:numCache>
                <c:formatCode>General</c:formatCode>
                <c:ptCount val="12"/>
                <c:pt idx="0">
                  <c:v>858</c:v>
                </c:pt>
                <c:pt idx="1">
                  <c:v>948</c:v>
                </c:pt>
                <c:pt idx="2">
                  <c:v>908</c:v>
                </c:pt>
                <c:pt idx="3">
                  <c:v>910</c:v>
                </c:pt>
                <c:pt idx="4">
                  <c:v>993</c:v>
                </c:pt>
                <c:pt idx="5">
                  <c:v>908</c:v>
                </c:pt>
                <c:pt idx="6">
                  <c:v>992</c:v>
                </c:pt>
                <c:pt idx="7">
                  <c:v>1003</c:v>
                </c:pt>
                <c:pt idx="8">
                  <c:v>957</c:v>
                </c:pt>
                <c:pt idx="9">
                  <c:v>874</c:v>
                </c:pt>
                <c:pt idx="10">
                  <c:v>901</c:v>
                </c:pt>
                <c:pt idx="11">
                  <c:v>904</c:v>
                </c:pt>
              </c:numCache>
            </c:numRef>
          </c:val>
        </c:ser>
        <c:shape val="box"/>
        <c:axId val="72475008"/>
        <c:axId val="72476544"/>
        <c:axId val="0"/>
      </c:bar3DChart>
      <c:catAx>
        <c:axId val="7247500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76544"/>
        <c:crosses val="autoZero"/>
        <c:auto val="1"/>
        <c:lblAlgn val="ctr"/>
        <c:lblOffset val="100"/>
        <c:tickLblSkip val="1"/>
        <c:tickMarkSkip val="1"/>
      </c:catAx>
      <c:valAx>
        <c:axId val="72476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75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837569084352265"/>
          <c:y val="0.42307692307692324"/>
          <c:w val="0.98374175789001972"/>
          <c:h val="0.719230769230769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&amp;R10</c:oddFooter>
    </c:headerFooter>
    <c:pageMargins b="1" l="0.44" r="0.37000000000000011" t="1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Salaries as % of Net Revenue</a:t>
            </a:r>
          </a:p>
        </c:rich>
      </c:tx>
      <c:layout>
        <c:manualLayout>
          <c:xMode val="edge"/>
          <c:yMode val="edge"/>
          <c:x val="0.35221023477037744"/>
          <c:y val="3.32326283987915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7244648629479"/>
          <c:y val="0.20241721702879689"/>
          <c:w val="0.80248672905970031"/>
          <c:h val="0.6646535484527657"/>
        </c:manualLayout>
      </c:layout>
      <c:barChart>
        <c:barDir val="col"/>
        <c:grouping val="clustered"/>
        <c:ser>
          <c:idx val="4"/>
          <c:order val="0"/>
          <c:tx>
            <c:strRef>
              <c:f>'Sal % Net Rev'!$C$34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'Sal % Net Rev'!$A$35:$A$46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 % Net Rev'!$C$35:$C$46</c:f>
            </c:numRef>
          </c:val>
        </c:ser>
        <c:ser>
          <c:idx val="5"/>
          <c:order val="1"/>
          <c:tx>
            <c:strRef>
              <c:f>'Sal % Net Rev'!$D$34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'Sal % Net Rev'!$A$35:$A$46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 % Net Rev'!$D$35:$D$46</c:f>
            </c:numRef>
          </c:val>
        </c:ser>
        <c:ser>
          <c:idx val="0"/>
          <c:order val="2"/>
          <c:tx>
            <c:strRef>
              <c:f>'Sal % Net Rev'!$E$34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'Sal % Net Rev'!$A$35:$A$46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 % Net Rev'!$E$35:$E$46</c:f>
              <c:numCache>
                <c:formatCode>0.00%</c:formatCode>
                <c:ptCount val="12"/>
                <c:pt idx="0">
                  <c:v>0.67972500490421783</c:v>
                </c:pt>
                <c:pt idx="1">
                  <c:v>0.5389068422835086</c:v>
                </c:pt>
                <c:pt idx="2">
                  <c:v>0.5048071851127528</c:v>
                </c:pt>
                <c:pt idx="3">
                  <c:v>0.54934490799195856</c:v>
                </c:pt>
                <c:pt idx="4">
                  <c:v>0.64983163817555323</c:v>
                </c:pt>
                <c:pt idx="5">
                  <c:v>0.53805203474580898</c:v>
                </c:pt>
                <c:pt idx="6">
                  <c:v>0.60171274481576931</c:v>
                </c:pt>
                <c:pt idx="7">
                  <c:v>0.56001649675985177</c:v>
                </c:pt>
                <c:pt idx="8">
                  <c:v>0.53431858326745674</c:v>
                </c:pt>
                <c:pt idx="9">
                  <c:v>0.53018645630882044</c:v>
                </c:pt>
                <c:pt idx="10">
                  <c:v>0.53032060351324939</c:v>
                </c:pt>
                <c:pt idx="11">
                  <c:v>0.45526521422769783</c:v>
                </c:pt>
              </c:numCache>
            </c:numRef>
          </c:val>
        </c:ser>
        <c:ser>
          <c:idx val="1"/>
          <c:order val="3"/>
          <c:tx>
            <c:strRef>
              <c:f>'Sal % Net Rev'!$F$34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'Sal % Net Rev'!$A$35:$A$46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 % Net Rev'!$F$35:$F$46</c:f>
              <c:numCache>
                <c:formatCode>0.00%</c:formatCode>
                <c:ptCount val="12"/>
                <c:pt idx="0">
                  <c:v>0.52613726445625852</c:v>
                </c:pt>
                <c:pt idx="1">
                  <c:v>0.5316030453379178</c:v>
                </c:pt>
                <c:pt idx="2">
                  <c:v>0.55341127379754851</c:v>
                </c:pt>
                <c:pt idx="3">
                  <c:v>0.58157210793356739</c:v>
                </c:pt>
                <c:pt idx="4">
                  <c:v>0.74870651727576687</c:v>
                </c:pt>
                <c:pt idx="5">
                  <c:v>0.61114968837530292</c:v>
                </c:pt>
                <c:pt idx="6">
                  <c:v>0.61637171978102478</c:v>
                </c:pt>
                <c:pt idx="7">
                  <c:v>0.56115316228611067</c:v>
                </c:pt>
                <c:pt idx="8">
                  <c:v>0.7431519694104568</c:v>
                </c:pt>
                <c:pt idx="9">
                  <c:v>0.53094124601506609</c:v>
                </c:pt>
                <c:pt idx="10">
                  <c:v>0.6594325989752774</c:v>
                </c:pt>
                <c:pt idx="11">
                  <c:v>0.58104893461216478</c:v>
                </c:pt>
              </c:numCache>
            </c:numRef>
          </c:val>
        </c:ser>
        <c:ser>
          <c:idx val="2"/>
          <c:order val="4"/>
          <c:tx>
            <c:strRef>
              <c:f>'Sal % Net Rev'!$G$34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'Sal % Net Rev'!$A$35:$A$46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 % Net Rev'!$G$35:$G$46</c:f>
              <c:numCache>
                <c:formatCode>0.00%</c:formatCode>
                <c:ptCount val="12"/>
                <c:pt idx="0">
                  <c:v>0.51280684291240408</c:v>
                </c:pt>
                <c:pt idx="1">
                  <c:v>0.62094583296687555</c:v>
                </c:pt>
                <c:pt idx="2">
                  <c:v>0.61192531771429681</c:v>
                </c:pt>
                <c:pt idx="3">
                  <c:v>0.55295292996400069</c:v>
                </c:pt>
                <c:pt idx="4">
                  <c:v>0.63352445500253762</c:v>
                </c:pt>
                <c:pt idx="5">
                  <c:v>0.57829244138770652</c:v>
                </c:pt>
                <c:pt idx="6">
                  <c:v>0.71709953654912362</c:v>
                </c:pt>
                <c:pt idx="7">
                  <c:v>0.62567190466724909</c:v>
                </c:pt>
                <c:pt idx="8">
                  <c:v>0.73976099212490687</c:v>
                </c:pt>
                <c:pt idx="9">
                  <c:v>0.73429419090049874</c:v>
                </c:pt>
                <c:pt idx="10">
                  <c:v>0.63710104248391086</c:v>
                </c:pt>
                <c:pt idx="11">
                  <c:v>0.67577076073268083</c:v>
                </c:pt>
              </c:numCache>
            </c:numRef>
          </c:val>
        </c:ser>
        <c:ser>
          <c:idx val="3"/>
          <c:order val="5"/>
          <c:tx>
            <c:strRef>
              <c:f>'Sal % Net Rev'!$H$34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'Sal % Net Rev'!$A$35:$A$46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 % Net Rev'!$H$35:$H$46</c:f>
              <c:numCache>
                <c:formatCode>0.00%</c:formatCode>
                <c:ptCount val="12"/>
                <c:pt idx="0">
                  <c:v>0.67858818582321623</c:v>
                </c:pt>
                <c:pt idx="1">
                  <c:v>0.57603681695991171</c:v>
                </c:pt>
                <c:pt idx="2">
                  <c:v>0.68400224649775743</c:v>
                </c:pt>
                <c:pt idx="3">
                  <c:v>0.58809966943526204</c:v>
                </c:pt>
                <c:pt idx="4">
                  <c:v>0.53483392186209833</c:v>
                </c:pt>
                <c:pt idx="5">
                  <c:v>0.73626876814599751</c:v>
                </c:pt>
                <c:pt idx="6">
                  <c:v>0.80662489617225797</c:v>
                </c:pt>
                <c:pt idx="7">
                  <c:v>0.69234834895221742</c:v>
                </c:pt>
                <c:pt idx="8">
                  <c:v>0.74657765721766844</c:v>
                </c:pt>
                <c:pt idx="9">
                  <c:v>0.80908920194947309</c:v>
                </c:pt>
                <c:pt idx="10">
                  <c:v>0.87473604533122995</c:v>
                </c:pt>
                <c:pt idx="11">
                  <c:v>0.72939336198589477</c:v>
                </c:pt>
              </c:numCache>
            </c:numRef>
          </c:val>
        </c:ser>
        <c:axId val="72587136"/>
        <c:axId val="72588672"/>
      </c:barChart>
      <c:catAx>
        <c:axId val="725871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88672"/>
        <c:crosses val="autoZero"/>
        <c:auto val="1"/>
        <c:lblAlgn val="ctr"/>
        <c:lblOffset val="100"/>
        <c:tickLblSkip val="1"/>
        <c:tickMarkSkip val="1"/>
      </c:catAx>
      <c:valAx>
        <c:axId val="72588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87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2265251373964996"/>
          <c:y val="0.41389791532855991"/>
          <c:w val="0.98895085628108681"/>
          <c:h val="0.6586112234460123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&amp;R11</c:oddFooter>
    </c:headerFooter>
    <c:pageMargins b="1" l="0.75000000000000022" r="0.75000000000000022" t="1" header="0.5" footer="0.5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Salary Reduction Plan</a:t>
            </a:r>
          </a:p>
        </c:rich>
      </c:tx>
      <c:layout>
        <c:manualLayout>
          <c:xMode val="edge"/>
          <c:yMode val="edge"/>
          <c:x val="0.32263548982052931"/>
          <c:y val="3.0092592592592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68929368244378"/>
          <c:y val="0.20370416418946272"/>
          <c:w val="0.67398704239060092"/>
          <c:h val="0.7175942147583344"/>
        </c:manualLayout>
      </c:layout>
      <c:lineChart>
        <c:grouping val="standard"/>
        <c:ser>
          <c:idx val="0"/>
          <c:order val="0"/>
          <c:tx>
            <c:strRef>
              <c:f>'Salary reduction'!$B$4</c:f>
              <c:strCache>
                <c:ptCount val="1"/>
                <c:pt idx="0">
                  <c:v>Goal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'Salary reduction'!$A$5:$A$16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'Salary reduction'!$B$5:$B$16</c:f>
              <c:numCache>
                <c:formatCode>0.0%</c:formatCode>
                <c:ptCount val="12"/>
                <c:pt idx="0">
                  <c:v>0.42</c:v>
                </c:pt>
                <c:pt idx="1">
                  <c:v>0.42</c:v>
                </c:pt>
                <c:pt idx="2">
                  <c:v>0.42</c:v>
                </c:pt>
                <c:pt idx="3">
                  <c:v>0.42</c:v>
                </c:pt>
                <c:pt idx="4">
                  <c:v>0.42</c:v>
                </c:pt>
                <c:pt idx="5">
                  <c:v>0.42</c:v>
                </c:pt>
                <c:pt idx="6">
                  <c:v>0.42</c:v>
                </c:pt>
                <c:pt idx="7">
                  <c:v>0.42</c:v>
                </c:pt>
                <c:pt idx="8">
                  <c:v>0.42</c:v>
                </c:pt>
                <c:pt idx="9">
                  <c:v>0.42</c:v>
                </c:pt>
                <c:pt idx="10">
                  <c:v>0.42</c:v>
                </c:pt>
                <c:pt idx="11">
                  <c:v>0.42</c:v>
                </c:pt>
              </c:numCache>
            </c:numRef>
          </c:val>
        </c:ser>
        <c:ser>
          <c:idx val="1"/>
          <c:order val="1"/>
          <c:tx>
            <c:strRef>
              <c:f>'Salary reduction'!$C$4</c:f>
              <c:strCache>
                <c:ptCount val="1"/>
                <c:pt idx="0">
                  <c:v>2007 Budget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'Salary reduction'!$A$5:$A$16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'Salary reduction'!$C$5:$C$16</c:f>
              <c:numCache>
                <c:formatCode>0.0%</c:formatCode>
                <c:ptCount val="12"/>
                <c:pt idx="0">
                  <c:v>0.5993951704633893</c:v>
                </c:pt>
                <c:pt idx="1">
                  <c:v>0.54777315445240182</c:v>
                </c:pt>
                <c:pt idx="2">
                  <c:v>0.59049344144433624</c:v>
                </c:pt>
                <c:pt idx="3">
                  <c:v>0.57597874815956096</c:v>
                </c:pt>
                <c:pt idx="4">
                  <c:v>0.5836980626635514</c:v>
                </c:pt>
                <c:pt idx="5">
                  <c:v>0.5574370226282197</c:v>
                </c:pt>
                <c:pt idx="6">
                  <c:v>0.59456787979478121</c:v>
                </c:pt>
                <c:pt idx="7">
                  <c:v>0.58076435332025067</c:v>
                </c:pt>
                <c:pt idx="8">
                  <c:v>0.57398168335640709</c:v>
                </c:pt>
                <c:pt idx="9">
                  <c:v>0.59205284120625545</c:v>
                </c:pt>
                <c:pt idx="10">
                  <c:v>0.56527090245652534</c:v>
                </c:pt>
                <c:pt idx="11">
                  <c:v>0.54702641253172157</c:v>
                </c:pt>
              </c:numCache>
            </c:numRef>
          </c:val>
        </c:ser>
        <c:ser>
          <c:idx val="2"/>
          <c:order val="2"/>
          <c:tx>
            <c:strRef>
              <c:f>'Salary reduction'!$D$4</c:f>
              <c:strCache>
                <c:ptCount val="1"/>
                <c:pt idx="0">
                  <c:v>2007 Actual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'Salary reduction'!$A$5:$A$16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'Salary reduction'!$D$5:$D$16</c:f>
              <c:numCache>
                <c:formatCode>0.00%</c:formatCode>
                <c:ptCount val="12"/>
                <c:pt idx="0">
                  <c:v>0.51280684291240408</c:v>
                </c:pt>
                <c:pt idx="1">
                  <c:v>0.62094583296687555</c:v>
                </c:pt>
                <c:pt idx="2">
                  <c:v>0.61192531771429681</c:v>
                </c:pt>
                <c:pt idx="3">
                  <c:v>0.55295292996400069</c:v>
                </c:pt>
                <c:pt idx="4">
                  <c:v>0.63352445500253762</c:v>
                </c:pt>
                <c:pt idx="5">
                  <c:v>0.57829244138770652</c:v>
                </c:pt>
                <c:pt idx="6">
                  <c:v>0.71709953654912362</c:v>
                </c:pt>
                <c:pt idx="7">
                  <c:v>0.62567190466724909</c:v>
                </c:pt>
                <c:pt idx="8">
                  <c:v>0.73976099212490687</c:v>
                </c:pt>
                <c:pt idx="9">
                  <c:v>0.73429419090049874</c:v>
                </c:pt>
                <c:pt idx="10">
                  <c:v>0.63710104248391086</c:v>
                </c:pt>
                <c:pt idx="11">
                  <c:v>0.67577076073268083</c:v>
                </c:pt>
              </c:numCache>
            </c:numRef>
          </c:val>
        </c:ser>
        <c:ser>
          <c:idx val="3"/>
          <c:order val="3"/>
          <c:tx>
            <c:strRef>
              <c:f>'Salary reduction'!$E$4</c:f>
              <c:strCache>
                <c:ptCount val="1"/>
                <c:pt idx="0">
                  <c:v>2006 Actual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'Salary reduction'!$A$5:$A$16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'Salary reduction'!$E$5:$E$16</c:f>
              <c:numCache>
                <c:formatCode>0.00%</c:formatCode>
                <c:ptCount val="12"/>
                <c:pt idx="0">
                  <c:v>0.52613726445625852</c:v>
                </c:pt>
                <c:pt idx="1">
                  <c:v>0.5316030453379178</c:v>
                </c:pt>
                <c:pt idx="2">
                  <c:v>0.55341127379754851</c:v>
                </c:pt>
                <c:pt idx="3">
                  <c:v>0.58157210793356739</c:v>
                </c:pt>
                <c:pt idx="4">
                  <c:v>0.74870651727576687</c:v>
                </c:pt>
                <c:pt idx="5">
                  <c:v>0.61114968837530292</c:v>
                </c:pt>
                <c:pt idx="6">
                  <c:v>0.61637171978102478</c:v>
                </c:pt>
                <c:pt idx="7">
                  <c:v>0.56115316228611067</c:v>
                </c:pt>
                <c:pt idx="8">
                  <c:v>0.7431519694104568</c:v>
                </c:pt>
                <c:pt idx="9">
                  <c:v>0.53094124601506609</c:v>
                </c:pt>
                <c:pt idx="10">
                  <c:v>0.6594325989752774</c:v>
                </c:pt>
                <c:pt idx="11">
                  <c:v>0.58104893461216478</c:v>
                </c:pt>
              </c:numCache>
            </c:numRef>
          </c:val>
        </c:ser>
        <c:marker val="1"/>
        <c:axId val="72517504"/>
        <c:axId val="72536064"/>
      </c:lineChart>
      <c:catAx>
        <c:axId val="72517504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36064"/>
        <c:crosses val="autoZero"/>
        <c:auto val="1"/>
        <c:lblAlgn val="ctr"/>
        <c:lblOffset val="100"/>
        <c:tickLblSkip val="1"/>
        <c:tickMarkSkip val="1"/>
      </c:catAx>
      <c:valAx>
        <c:axId val="72536064"/>
        <c:scaling>
          <c:orientation val="minMax"/>
          <c:min val="0.300000000000000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17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0743314180322034"/>
          <c:y val="0.43055652765626523"/>
          <c:w val="0.99155494076753881"/>
          <c:h val="0.618057013706619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&amp;R12</c:oddFooter>
    </c:headerFooter>
    <c:pageMargins b="1" l="0.4200000000000001" r="0.45" t="1" header="0.5" footer="0.5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Salary Reduction Plan
Includes Contract Labor</a:t>
            </a:r>
          </a:p>
        </c:rich>
      </c:tx>
      <c:layout>
        <c:manualLayout>
          <c:xMode val="edge"/>
          <c:yMode val="edge"/>
          <c:x val="0.34723926380368098"/>
          <c:y val="3.17460317460317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705521472392682E-2"/>
          <c:y val="0.25132340061642439"/>
          <c:w val="0.72515337423312909"/>
          <c:h val="0.61111268991993695"/>
        </c:manualLayout>
      </c:layout>
      <c:lineChart>
        <c:grouping val="standard"/>
        <c:ser>
          <c:idx val="0"/>
          <c:order val="0"/>
          <c:tx>
            <c:strRef>
              <c:f>'Salary reduction'!$B$98</c:f>
              <c:strCache>
                <c:ptCount val="1"/>
                <c:pt idx="0">
                  <c:v>Budget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'Salary reduction'!$A$99:$A$112</c:f>
              <c:numCache>
                <c:formatCode>mmm\-yy</c:formatCode>
                <c:ptCount val="14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38716</c:v>
                </c:pt>
                <c:pt idx="12">
                  <c:v>38748</c:v>
                </c:pt>
                <c:pt idx="13">
                  <c:v>38776</c:v>
                </c:pt>
              </c:numCache>
            </c:numRef>
          </c:cat>
          <c:val>
            <c:numRef>
              <c:f>'Salary reduction'!$B$99:$B$112</c:f>
              <c:numCache>
                <c:formatCode>0.0%</c:formatCode>
                <c:ptCount val="14"/>
                <c:pt idx="0">
                  <c:v>0.41271199558905802</c:v>
                </c:pt>
                <c:pt idx="1">
                  <c:v>0.53221284894573839</c:v>
                </c:pt>
                <c:pt idx="2">
                  <c:v>0.53699613962573156</c:v>
                </c:pt>
                <c:pt idx="3">
                  <c:v>0.52572820190011837</c:v>
                </c:pt>
                <c:pt idx="4">
                  <c:v>0.5334613571004897</c:v>
                </c:pt>
                <c:pt idx="5">
                  <c:v>0.5308414022704987</c:v>
                </c:pt>
                <c:pt idx="6">
                  <c:v>0.51453575453699452</c:v>
                </c:pt>
                <c:pt idx="7">
                  <c:v>0.47516841517122022</c:v>
                </c:pt>
                <c:pt idx="8">
                  <c:v>0.53457498217334554</c:v>
                </c:pt>
                <c:pt idx="9">
                  <c:v>0.47196772835552908</c:v>
                </c:pt>
                <c:pt idx="10">
                  <c:v>0.45562443965749011</c:v>
                </c:pt>
                <c:pt idx="11">
                  <c:v>0.52157742349816993</c:v>
                </c:pt>
                <c:pt idx="12">
                  <c:v>0.54182780245993245</c:v>
                </c:pt>
                <c:pt idx="13">
                  <c:v>0.47164503311814371</c:v>
                </c:pt>
              </c:numCache>
            </c:numRef>
          </c:val>
        </c:ser>
        <c:ser>
          <c:idx val="1"/>
          <c:order val="1"/>
          <c:tx>
            <c:strRef>
              <c:f>'Salary reduction'!$C$98</c:f>
              <c:strCache>
                <c:ptCount val="1"/>
                <c:pt idx="0">
                  <c:v>Actual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'Salary reduction'!$A$99:$A$112</c:f>
              <c:numCache>
                <c:formatCode>mmm\-yy</c:formatCode>
                <c:ptCount val="14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38716</c:v>
                </c:pt>
                <c:pt idx="12">
                  <c:v>38748</c:v>
                </c:pt>
                <c:pt idx="13">
                  <c:v>38776</c:v>
                </c:pt>
              </c:numCache>
            </c:numRef>
          </c:cat>
          <c:val>
            <c:numRef>
              <c:f>'Salary reduction'!$C$99:$C$112</c:f>
              <c:numCache>
                <c:formatCode>0.0%</c:formatCode>
                <c:ptCount val="14"/>
                <c:pt idx="0">
                  <c:v>0.52613726445625852</c:v>
                </c:pt>
                <c:pt idx="1">
                  <c:v>0.5316030453379178</c:v>
                </c:pt>
                <c:pt idx="2">
                  <c:v>0.55341127379754851</c:v>
                </c:pt>
                <c:pt idx="3">
                  <c:v>0.58157210793356739</c:v>
                </c:pt>
                <c:pt idx="4">
                  <c:v>0.74870651727576687</c:v>
                </c:pt>
                <c:pt idx="5">
                  <c:v>0.61114968837530292</c:v>
                </c:pt>
                <c:pt idx="6">
                  <c:v>0.61637171978102478</c:v>
                </c:pt>
                <c:pt idx="7">
                  <c:v>0.56115316228611067</c:v>
                </c:pt>
                <c:pt idx="8">
                  <c:v>0.7431519694104568</c:v>
                </c:pt>
                <c:pt idx="9">
                  <c:v>0.53094124601506609</c:v>
                </c:pt>
                <c:pt idx="10">
                  <c:v>0.6594325989752774</c:v>
                </c:pt>
                <c:pt idx="11">
                  <c:v>0.58104893461216478</c:v>
                </c:pt>
                <c:pt idx="12">
                  <c:v>0.51280684291240408</c:v>
                </c:pt>
                <c:pt idx="13">
                  <c:v>0.62094583296687555</c:v>
                </c:pt>
              </c:numCache>
            </c:numRef>
          </c:val>
        </c:ser>
        <c:marker val="1"/>
        <c:axId val="71966720"/>
        <c:axId val="71968640"/>
      </c:lineChart>
      <c:dateAx>
        <c:axId val="71966720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686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1968640"/>
        <c:scaling>
          <c:orientation val="minMax"/>
          <c:min val="0.2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66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116564417177933"/>
          <c:y val="0.5291019178158286"/>
          <c:w val="0.98404907975460121"/>
          <c:h val="0.70899665319612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&amp;R13</c:oddFooter>
    </c:headerFooter>
    <c:pageMargins b="1" l="0.75000000000000022" r="0.75000000000000022" t="1" header="0.5" footer="0.5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Supplies Percent of Net Revenue</a:t>
            </a:r>
          </a:p>
        </c:rich>
      </c:tx>
      <c:layout>
        <c:manualLayout>
          <c:xMode val="edge"/>
          <c:yMode val="edge"/>
          <c:x val="0.23941826716104941"/>
          <c:y val="4.52380952380952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830704404741766"/>
          <c:y val="0.15476226460720019"/>
          <c:w val="0.66137651570833811"/>
          <c:h val="0.65476342718430824"/>
        </c:manualLayout>
      </c:layout>
      <c:lineChart>
        <c:grouping val="standard"/>
        <c:ser>
          <c:idx val="0"/>
          <c:order val="0"/>
          <c:tx>
            <c:strRef>
              <c:f>'Supply Reductions'!$C$4</c:f>
              <c:strCache>
                <c:ptCount val="1"/>
                <c:pt idx="0">
                  <c:v>2008 Actual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'Supply Reductions'!$A$5:$A$16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'Supply Reductions'!$C$5:$C$16</c:f>
              <c:numCache>
                <c:formatCode>0.0%</c:formatCode>
                <c:ptCount val="12"/>
                <c:pt idx="0">
                  <c:v>0.12172039248275962</c:v>
                </c:pt>
                <c:pt idx="1">
                  <c:v>0.10627612879124984</c:v>
                </c:pt>
                <c:pt idx="2">
                  <c:v>0.13567217805210344</c:v>
                </c:pt>
                <c:pt idx="3">
                  <c:v>0.1579595793133611</c:v>
                </c:pt>
                <c:pt idx="4">
                  <c:v>0.1167131548380443</c:v>
                </c:pt>
                <c:pt idx="5">
                  <c:v>0.14507857939671681</c:v>
                </c:pt>
                <c:pt idx="6">
                  <c:v>0.14138496943307355</c:v>
                </c:pt>
                <c:pt idx="7">
                  <c:v>0.15551673432453153</c:v>
                </c:pt>
                <c:pt idx="8">
                  <c:v>0.1836382518817371</c:v>
                </c:pt>
                <c:pt idx="9">
                  <c:v>0.15443061119019677</c:v>
                </c:pt>
                <c:pt idx="10">
                  <c:v>0.19618474527338139</c:v>
                </c:pt>
                <c:pt idx="11">
                  <c:v>0.17690641800352871</c:v>
                </c:pt>
              </c:numCache>
            </c:numRef>
          </c:val>
        </c:ser>
        <c:ser>
          <c:idx val="1"/>
          <c:order val="1"/>
          <c:tx>
            <c:strRef>
              <c:f>'Supply Reductions'!$D$4</c:f>
              <c:strCache>
                <c:ptCount val="1"/>
                <c:pt idx="0">
                  <c:v>2007 Actual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'Supply Reductions'!$A$5:$A$16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'Supply Reductions'!$D$5:$D$16</c:f>
              <c:numCache>
                <c:formatCode>0.0%</c:formatCode>
                <c:ptCount val="12"/>
                <c:pt idx="0">
                  <c:v>0.12107309214443315</c:v>
                </c:pt>
                <c:pt idx="1">
                  <c:v>0.10863801108883028</c:v>
                </c:pt>
                <c:pt idx="2">
                  <c:v>0.15434235444280045</c:v>
                </c:pt>
                <c:pt idx="3">
                  <c:v>0.11897550826020645</c:v>
                </c:pt>
                <c:pt idx="4">
                  <c:v>0.12809968677442274</c:v>
                </c:pt>
                <c:pt idx="5">
                  <c:v>0.14128697004440566</c:v>
                </c:pt>
                <c:pt idx="6">
                  <c:v>0.16059140743048059</c:v>
                </c:pt>
                <c:pt idx="7">
                  <c:v>0.1617894532570234</c:v>
                </c:pt>
                <c:pt idx="8">
                  <c:v>0.17665207768218202</c:v>
                </c:pt>
                <c:pt idx="9">
                  <c:v>0.16635294760470914</c:v>
                </c:pt>
                <c:pt idx="10">
                  <c:v>0.18120563512482923</c:v>
                </c:pt>
                <c:pt idx="11">
                  <c:v>0.14957741303865679</c:v>
                </c:pt>
              </c:numCache>
            </c:numRef>
          </c:val>
        </c:ser>
        <c:ser>
          <c:idx val="2"/>
          <c:order val="2"/>
          <c:tx>
            <c:strRef>
              <c:f>'Supply Reductions'!$E$4</c:f>
              <c:strCache>
                <c:ptCount val="1"/>
                <c:pt idx="0">
                  <c:v>2006 Actual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'Supply Reductions'!$A$5:$A$16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'Supply Reductions'!$E$5:$E$16</c:f>
              <c:numCache>
                <c:formatCode>0.0%</c:formatCode>
                <c:ptCount val="12"/>
                <c:pt idx="0">
                  <c:v>0.16703948410057518</c:v>
                </c:pt>
                <c:pt idx="1">
                  <c:v>0.1567069373046544</c:v>
                </c:pt>
                <c:pt idx="2">
                  <c:v>0.17033804568380945</c:v>
                </c:pt>
                <c:pt idx="3">
                  <c:v>0.13246675218036078</c:v>
                </c:pt>
                <c:pt idx="4">
                  <c:v>0.15404049542553105</c:v>
                </c:pt>
                <c:pt idx="5">
                  <c:v>0.17320155276837776</c:v>
                </c:pt>
                <c:pt idx="6">
                  <c:v>0.11938654914033597</c:v>
                </c:pt>
                <c:pt idx="7">
                  <c:v>0.14596205828336781</c:v>
                </c:pt>
                <c:pt idx="8">
                  <c:v>0.13439554751431712</c:v>
                </c:pt>
                <c:pt idx="9">
                  <c:v>0.11667755098462901</c:v>
                </c:pt>
                <c:pt idx="10">
                  <c:v>0.1579628090190805</c:v>
                </c:pt>
                <c:pt idx="11">
                  <c:v>0.12876141921159223</c:v>
                </c:pt>
              </c:numCache>
            </c:numRef>
          </c:val>
        </c:ser>
        <c:marker val="1"/>
        <c:axId val="72784896"/>
        <c:axId val="72795264"/>
      </c:lineChart>
      <c:catAx>
        <c:axId val="72784896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95264"/>
        <c:crosses val="autoZero"/>
        <c:auto val="1"/>
        <c:lblAlgn val="ctr"/>
        <c:lblOffset val="100"/>
        <c:tickLblSkip val="1"/>
        <c:tickMarkSkip val="1"/>
      </c:catAx>
      <c:valAx>
        <c:axId val="72795264"/>
        <c:scaling>
          <c:orientation val="minMax"/>
          <c:min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84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672068769181672"/>
          <c:y val="0.76190651168603951"/>
          <c:w val="0.99471038342429419"/>
          <c:h val="0.9928593925759280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&amp;R13</c:oddFooter>
    </c:headerFooter>
    <c:pageMargins b="1" l="0.75000000000000022" r="0.75000000000000022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Net Days in Accounts Receivable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72884992"/>
        <c:axId val="72886912"/>
      </c:lineChart>
      <c:catAx>
        <c:axId val="728849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86912"/>
        <c:crosses val="autoZero"/>
        <c:auto val="1"/>
        <c:lblAlgn val="ctr"/>
        <c:lblOffset val="100"/>
        <c:tickLblSkip val="1"/>
        <c:tickMarkSkip val="1"/>
      </c:catAx>
      <c:valAx>
        <c:axId val="72886912"/>
        <c:scaling>
          <c:orientation val="minMax"/>
          <c:min val="3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Days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84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Net Days in Accounts Receivable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72928256"/>
        <c:axId val="72811264"/>
      </c:lineChart>
      <c:catAx>
        <c:axId val="729282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11264"/>
        <c:crosses val="autoZero"/>
        <c:auto val="1"/>
        <c:lblAlgn val="ctr"/>
        <c:lblOffset val="100"/>
        <c:tickLblSkip val="1"/>
        <c:tickMarkSkip val="1"/>
      </c:catAx>
      <c:valAx>
        <c:axId val="72811264"/>
        <c:scaling>
          <c:orientation val="minMax"/>
          <c:min val="3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Days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28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Patient Days</a:t>
            </a:r>
          </a:p>
        </c:rich>
      </c:tx>
      <c:layout>
        <c:manualLayout>
          <c:xMode val="edge"/>
          <c:yMode val="edge"/>
          <c:x val="0.32347826086956549"/>
          <c:y val="2.6143790849673214E-2"/>
        </c:manualLayout>
      </c:layout>
      <c:spPr>
        <a:noFill/>
        <a:ln w="25400">
          <a:noFill/>
        </a:ln>
      </c:spPr>
    </c:title>
    <c:view3D>
      <c:hPercent val="43"/>
      <c:depthPercent val="100"/>
      <c:rAngAx val="1"/>
    </c:view3D>
    <c:floor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8695652173913106E-2"/>
          <c:y val="0.23202688427697443"/>
          <c:w val="0.80695652173913046"/>
          <c:h val="0.60457709283437022"/>
        </c:manualLayout>
      </c:layout>
      <c:bar3DChart>
        <c:barDir val="col"/>
        <c:grouping val="clustered"/>
        <c:ser>
          <c:idx val="0"/>
          <c:order val="0"/>
          <c:tx>
            <c:strRef>
              <c:f>'Patient Days'!$B$4</c:f>
              <c:strCache>
                <c:ptCount val="1"/>
                <c:pt idx="0">
                  <c:v>2000</c:v>
                </c:pt>
              </c:strCache>
            </c:strRef>
          </c:tx>
          <c:spPr>
            <a:pattFill prst="dashDnDiag">
              <a:fgClr>
                <a:srgbClr val="993366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'Patient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'Patient Days'!$B$5:$B$16</c:f>
            </c:numRef>
          </c:val>
        </c:ser>
        <c:ser>
          <c:idx val="1"/>
          <c:order val="1"/>
          <c:tx>
            <c:strRef>
              <c:f>'Patient Days'!$C$4</c:f>
              <c:strCache>
                <c:ptCount val="1"/>
                <c:pt idx="0">
                  <c:v>2001</c:v>
                </c:pt>
              </c:strCache>
            </c:strRef>
          </c:tx>
          <c:spPr>
            <a:pattFill prst="wdDnDiag">
              <a:fgClr>
                <a:srgbClr val="FF66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'Patient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'Patient Days'!$C$5:$C$16</c:f>
            </c:numRef>
          </c:val>
        </c:ser>
        <c:ser>
          <c:idx val="2"/>
          <c:order val="2"/>
          <c:tx>
            <c:strRef>
              <c:f>'Patient Days'!$D$4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Ref>
              <c:f>'Patient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'Patient Days'!$D$5:$D$16</c:f>
            </c:numRef>
          </c:val>
        </c:ser>
        <c:ser>
          <c:idx val="3"/>
          <c:order val="3"/>
          <c:tx>
            <c:strRef>
              <c:f>'Patient Days'!$E$4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'Patient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'Patient Days'!$E$5:$E$16</c:f>
              <c:numCache>
                <c:formatCode>General</c:formatCode>
                <c:ptCount val="12"/>
                <c:pt idx="0">
                  <c:v>809</c:v>
                </c:pt>
                <c:pt idx="1">
                  <c:v>995</c:v>
                </c:pt>
                <c:pt idx="2">
                  <c:v>1175</c:v>
                </c:pt>
                <c:pt idx="3">
                  <c:v>975</c:v>
                </c:pt>
                <c:pt idx="4">
                  <c:v>715</c:v>
                </c:pt>
                <c:pt idx="5">
                  <c:v>858</c:v>
                </c:pt>
                <c:pt idx="6">
                  <c:v>869</c:v>
                </c:pt>
                <c:pt idx="7">
                  <c:v>759</c:v>
                </c:pt>
                <c:pt idx="8">
                  <c:v>741</c:v>
                </c:pt>
                <c:pt idx="9">
                  <c:v>855</c:v>
                </c:pt>
                <c:pt idx="10">
                  <c:v>895</c:v>
                </c:pt>
                <c:pt idx="11">
                  <c:v>710</c:v>
                </c:pt>
              </c:numCache>
            </c:numRef>
          </c:val>
        </c:ser>
        <c:ser>
          <c:idx val="4"/>
          <c:order val="4"/>
          <c:tx>
            <c:strRef>
              <c:f>'Patient Days'!$F$4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'Patient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'Patient Days'!$F$5:$F$16</c:f>
              <c:numCache>
                <c:formatCode>General</c:formatCode>
                <c:ptCount val="12"/>
                <c:pt idx="0">
                  <c:v>659</c:v>
                </c:pt>
                <c:pt idx="1">
                  <c:v>624</c:v>
                </c:pt>
                <c:pt idx="2">
                  <c:v>687</c:v>
                </c:pt>
                <c:pt idx="3">
                  <c:v>609</c:v>
                </c:pt>
                <c:pt idx="4">
                  <c:v>666</c:v>
                </c:pt>
                <c:pt idx="5">
                  <c:v>743</c:v>
                </c:pt>
                <c:pt idx="6">
                  <c:v>691</c:v>
                </c:pt>
                <c:pt idx="7">
                  <c:v>695</c:v>
                </c:pt>
                <c:pt idx="8">
                  <c:v>569</c:v>
                </c:pt>
                <c:pt idx="9">
                  <c:v>774</c:v>
                </c:pt>
                <c:pt idx="10">
                  <c:v>662</c:v>
                </c:pt>
                <c:pt idx="11">
                  <c:v>758</c:v>
                </c:pt>
              </c:numCache>
            </c:numRef>
          </c:val>
        </c:ser>
        <c:ser>
          <c:idx val="5"/>
          <c:order val="5"/>
          <c:tx>
            <c:strRef>
              <c:f>'Patient Days'!$G$4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'Patient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'Patient Days'!$G$5:$G$16</c:f>
              <c:numCache>
                <c:formatCode>General</c:formatCode>
                <c:ptCount val="12"/>
                <c:pt idx="0">
                  <c:v>798</c:v>
                </c:pt>
                <c:pt idx="1">
                  <c:v>613</c:v>
                </c:pt>
                <c:pt idx="2">
                  <c:v>728</c:v>
                </c:pt>
                <c:pt idx="3">
                  <c:v>762</c:v>
                </c:pt>
                <c:pt idx="4">
                  <c:v>700</c:v>
                </c:pt>
                <c:pt idx="5">
                  <c:v>654</c:v>
                </c:pt>
                <c:pt idx="6">
                  <c:v>673</c:v>
                </c:pt>
                <c:pt idx="7">
                  <c:v>689</c:v>
                </c:pt>
                <c:pt idx="8">
                  <c:v>665</c:v>
                </c:pt>
                <c:pt idx="9">
                  <c:v>616</c:v>
                </c:pt>
                <c:pt idx="10">
                  <c:v>643</c:v>
                </c:pt>
                <c:pt idx="11">
                  <c:v>680</c:v>
                </c:pt>
              </c:numCache>
            </c:numRef>
          </c:val>
        </c:ser>
        <c:ser>
          <c:idx val="6"/>
          <c:order val="6"/>
          <c:tx>
            <c:strRef>
              <c:f>'Patient Days'!$H$4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'Patient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'Patient Days'!$H$5:$H$16</c:f>
              <c:numCache>
                <c:formatCode>General</c:formatCode>
                <c:ptCount val="12"/>
                <c:pt idx="0">
                  <c:v>575</c:v>
                </c:pt>
                <c:pt idx="1">
                  <c:v>719</c:v>
                </c:pt>
                <c:pt idx="2">
                  <c:v>695</c:v>
                </c:pt>
                <c:pt idx="3">
                  <c:v>601</c:v>
                </c:pt>
                <c:pt idx="4">
                  <c:v>568</c:v>
                </c:pt>
                <c:pt idx="5">
                  <c:v>591</c:v>
                </c:pt>
                <c:pt idx="6">
                  <c:v>404</c:v>
                </c:pt>
                <c:pt idx="7">
                  <c:v>418</c:v>
                </c:pt>
                <c:pt idx="8">
                  <c:v>405</c:v>
                </c:pt>
                <c:pt idx="9">
                  <c:v>416</c:v>
                </c:pt>
                <c:pt idx="10">
                  <c:v>414</c:v>
                </c:pt>
                <c:pt idx="11">
                  <c:v>466</c:v>
                </c:pt>
              </c:numCache>
            </c:numRef>
          </c:val>
        </c:ser>
        <c:shape val="box"/>
        <c:axId val="70765568"/>
        <c:axId val="70775552"/>
        <c:axId val="0"/>
      </c:bar3DChart>
      <c:catAx>
        <c:axId val="7076556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75552"/>
        <c:crosses val="autoZero"/>
        <c:auto val="1"/>
        <c:lblAlgn val="ctr"/>
        <c:lblOffset val="100"/>
        <c:tickLblSkip val="1"/>
        <c:tickMarkSkip val="1"/>
      </c:catAx>
      <c:valAx>
        <c:axId val="70775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65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043478260869569"/>
          <c:y val="0.54248537560255949"/>
          <c:w val="0.99304347826086969"/>
          <c:h val="0.820264182663441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Cash Collections and Days in
Gross A/R
(based on 3 months Gross revenue)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'Days in AR gross'!$A$67:$A$79</c:f>
              <c:numCache>
                <c:formatCode>mmm\-yy</c:formatCode>
                <c:ptCount val="13"/>
                <c:pt idx="0">
                  <c:v>39141</c:v>
                </c:pt>
                <c:pt idx="1">
                  <c:v>39172</c:v>
                </c:pt>
                <c:pt idx="2">
                  <c:v>39202</c:v>
                </c:pt>
                <c:pt idx="3">
                  <c:v>39233</c:v>
                </c:pt>
                <c:pt idx="4">
                  <c:v>39263</c:v>
                </c:pt>
                <c:pt idx="5">
                  <c:v>39294</c:v>
                </c:pt>
                <c:pt idx="6">
                  <c:v>39325</c:v>
                </c:pt>
                <c:pt idx="7">
                  <c:v>39355</c:v>
                </c:pt>
                <c:pt idx="8">
                  <c:v>39386</c:v>
                </c:pt>
                <c:pt idx="9">
                  <c:v>39416</c:v>
                </c:pt>
                <c:pt idx="10">
                  <c:v>39447</c:v>
                </c:pt>
                <c:pt idx="11">
                  <c:v>39478</c:v>
                </c:pt>
                <c:pt idx="12">
                  <c:v>39507</c:v>
                </c:pt>
              </c:numCache>
            </c:numRef>
          </c:cat>
          <c:val>
            <c:numRef>
              <c:f>'Days in AR gross'!$B$67:$B$79</c:f>
              <c:numCache>
                <c:formatCode>_(* #,##0_);_(* \(#,##0\);_(* "-"??_);_(@_)</c:formatCode>
                <c:ptCount val="13"/>
                <c:pt idx="0">
                  <c:v>2852708.83</c:v>
                </c:pt>
                <c:pt idx="1">
                  <c:v>2566358.09</c:v>
                </c:pt>
                <c:pt idx="2">
                  <c:v>2703218</c:v>
                </c:pt>
                <c:pt idx="3">
                  <c:v>2746389.38</c:v>
                </c:pt>
                <c:pt idx="4">
                  <c:v>2207760.0499999998</c:v>
                </c:pt>
                <c:pt idx="5">
                  <c:v>2403762.29</c:v>
                </c:pt>
                <c:pt idx="6">
                  <c:v>2804285.77</c:v>
                </c:pt>
                <c:pt idx="7">
                  <c:v>2548186.1800000002</c:v>
                </c:pt>
                <c:pt idx="8">
                  <c:v>2966593.58</c:v>
                </c:pt>
                <c:pt idx="9">
                  <c:v>2567879.0499999998</c:v>
                </c:pt>
                <c:pt idx="10">
                  <c:v>2567508.67</c:v>
                </c:pt>
                <c:pt idx="11">
                  <c:v>2765748.6</c:v>
                </c:pt>
                <c:pt idx="12">
                  <c:v>2774231.23</c:v>
                </c:pt>
              </c:numCache>
            </c:numRef>
          </c:val>
        </c:ser>
        <c:marker val="1"/>
        <c:axId val="72849280"/>
        <c:axId val="72863744"/>
      </c:lineChart>
      <c:lineChart>
        <c:grouping val="standard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'Days in AR gross'!$A$67:$A$79</c:f>
              <c:numCache>
                <c:formatCode>mmm\-yy</c:formatCode>
                <c:ptCount val="13"/>
                <c:pt idx="0">
                  <c:v>39141</c:v>
                </c:pt>
                <c:pt idx="1">
                  <c:v>39172</c:v>
                </c:pt>
                <c:pt idx="2">
                  <c:v>39202</c:v>
                </c:pt>
                <c:pt idx="3">
                  <c:v>39233</c:v>
                </c:pt>
                <c:pt idx="4">
                  <c:v>39263</c:v>
                </c:pt>
                <c:pt idx="5">
                  <c:v>39294</c:v>
                </c:pt>
                <c:pt idx="6">
                  <c:v>39325</c:v>
                </c:pt>
                <c:pt idx="7">
                  <c:v>39355</c:v>
                </c:pt>
                <c:pt idx="8">
                  <c:v>39386</c:v>
                </c:pt>
                <c:pt idx="9">
                  <c:v>39416</c:v>
                </c:pt>
                <c:pt idx="10">
                  <c:v>39447</c:v>
                </c:pt>
                <c:pt idx="11">
                  <c:v>39478</c:v>
                </c:pt>
                <c:pt idx="12">
                  <c:v>39507</c:v>
                </c:pt>
              </c:numCache>
            </c:numRef>
          </c:cat>
          <c:val>
            <c:numRef>
              <c:f>'Days in AR gross'!$C$67:$C$79</c:f>
              <c:numCache>
                <c:formatCode>#,##0.0</c:formatCode>
                <c:ptCount val="13"/>
                <c:pt idx="0">
                  <c:v>73.562678784561541</c:v>
                </c:pt>
                <c:pt idx="1">
                  <c:v>75.831707571313189</c:v>
                </c:pt>
                <c:pt idx="2">
                  <c:v>79.259393831629893</c:v>
                </c:pt>
                <c:pt idx="3">
                  <c:v>75.966816619643595</c:v>
                </c:pt>
                <c:pt idx="4">
                  <c:v>78.698297470580073</c:v>
                </c:pt>
                <c:pt idx="5">
                  <c:v>80.814334674220589</c:v>
                </c:pt>
                <c:pt idx="6">
                  <c:v>82.448922197035458</c:v>
                </c:pt>
                <c:pt idx="7">
                  <c:v>85.384292091580321</c:v>
                </c:pt>
                <c:pt idx="8">
                  <c:v>81.888469244944901</c:v>
                </c:pt>
                <c:pt idx="9">
                  <c:v>81.544227548670776</c:v>
                </c:pt>
                <c:pt idx="10">
                  <c:v>82.337511226950426</c:v>
                </c:pt>
                <c:pt idx="11">
                  <c:v>83.871818631887564</c:v>
                </c:pt>
                <c:pt idx="12">
                  <c:v>77.380311043639864</c:v>
                </c:pt>
              </c:numCache>
            </c:numRef>
          </c:val>
        </c:ser>
        <c:marker val="1"/>
        <c:axId val="72865280"/>
        <c:axId val="72866816"/>
      </c:lineChart>
      <c:catAx>
        <c:axId val="72849280"/>
        <c:scaling>
          <c:orientation val="minMax"/>
        </c:scaling>
        <c:axPos val="b"/>
        <c:numFmt formatCode="mmm\-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63744"/>
        <c:crosses val="autoZero"/>
        <c:lblAlgn val="ctr"/>
        <c:lblOffset val="100"/>
        <c:tickLblSkip val="1"/>
        <c:tickMarkSkip val="1"/>
      </c:catAx>
      <c:valAx>
        <c:axId val="72863744"/>
        <c:scaling>
          <c:orientation val="minMax"/>
          <c:min val="150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280"/>
        <c:crosses val="autoZero"/>
        <c:crossBetween val="between"/>
      </c:valAx>
      <c:catAx>
        <c:axId val="72865280"/>
        <c:scaling>
          <c:orientation val="minMax"/>
        </c:scaling>
        <c:delete val="1"/>
        <c:axPos val="b"/>
        <c:numFmt formatCode="mmm\-yy" sourceLinked="1"/>
        <c:tickLblPos val="none"/>
        <c:crossAx val="72866816"/>
        <c:crosses val="autoZero"/>
        <c:lblAlgn val="ctr"/>
        <c:lblOffset val="100"/>
      </c:catAx>
      <c:valAx>
        <c:axId val="72866816"/>
        <c:scaling>
          <c:orientation val="minMax"/>
          <c:min val="25"/>
        </c:scaling>
        <c:axPos val="r"/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652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&amp;R14</c:oddFooter>
    </c:headerFooter>
    <c:pageMargins b="1" l="0.54" r="0.41000000000000009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Adjusted Patient Days</a:t>
            </a:r>
          </a:p>
        </c:rich>
      </c:tx>
      <c:layout>
        <c:manualLayout>
          <c:xMode val="edge"/>
          <c:yMode val="edge"/>
          <c:x val="0.19791703120443288"/>
          <c:y val="3.6065573770491806E-2"/>
        </c:manualLayout>
      </c:layout>
      <c:spPr>
        <a:noFill/>
        <a:ln w="25400">
          <a:noFill/>
        </a:ln>
      </c:spPr>
    </c:title>
    <c:view3D>
      <c:hPercent val="42"/>
      <c:depthPercent val="100"/>
      <c:rAngAx val="1"/>
    </c:view3D>
    <c:floor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8958501109654984E-2"/>
          <c:y val="0.27868852459016391"/>
          <c:w val="0.79514023698635039"/>
          <c:h val="0.59016393442622928"/>
        </c:manualLayout>
      </c:layout>
      <c:bar3DChart>
        <c:barDir val="col"/>
        <c:grouping val="clustered"/>
        <c:ser>
          <c:idx val="0"/>
          <c:order val="0"/>
          <c:tx>
            <c:strRef>
              <c:f>'Adjusted Pt days'!$B$4</c:f>
              <c:strCache>
                <c:ptCount val="1"/>
                <c:pt idx="0">
                  <c:v>2000</c:v>
                </c:pt>
              </c:strCache>
            </c:strRef>
          </c:tx>
          <c:spPr>
            <a:pattFill prst="dashDnDiag">
              <a:fgClr>
                <a:srgbClr val="808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'Adjusted Pt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'Adjusted Pt days'!$B$5:$B$16</c:f>
            </c:numRef>
          </c:val>
        </c:ser>
        <c:ser>
          <c:idx val="1"/>
          <c:order val="1"/>
          <c:tx>
            <c:strRef>
              <c:f>'Adjusted Pt days'!$C$4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Ref>
              <c:f>'Adjusted Pt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'Adjusted Pt days'!$C$5:$C$16</c:f>
            </c:numRef>
          </c:val>
        </c:ser>
        <c:ser>
          <c:idx val="2"/>
          <c:order val="2"/>
          <c:tx>
            <c:strRef>
              <c:f>'Adjusted Pt days'!$D$4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Ref>
              <c:f>'Adjusted Pt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'Adjusted Pt days'!$D$5:$D$16</c:f>
            </c:numRef>
          </c:val>
        </c:ser>
        <c:ser>
          <c:idx val="3"/>
          <c:order val="3"/>
          <c:tx>
            <c:strRef>
              <c:f>'Adjusted Pt days'!$E$4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'Adjusted Pt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'Adjusted Pt days'!$E$5:$E$16</c:f>
              <c:numCache>
                <c:formatCode>_(* #,##0_);_(* \(#,##0\);_(* "-"??_);_(@_)</c:formatCode>
                <c:ptCount val="12"/>
                <c:pt idx="0">
                  <c:v>2101.4769352447702</c:v>
                </c:pt>
                <c:pt idx="1">
                  <c:v>2429.9715882322039</c:v>
                </c:pt>
                <c:pt idx="2">
                  <c:v>2511.3162945869281</c:v>
                </c:pt>
                <c:pt idx="3">
                  <c:v>2429.0291260953936</c:v>
                </c:pt>
                <c:pt idx="4">
                  <c:v>2199.6252829949149</c:v>
                </c:pt>
                <c:pt idx="5">
                  <c:v>3010.6987497700716</c:v>
                </c:pt>
                <c:pt idx="6">
                  <c:v>3021.6987497700716</c:v>
                </c:pt>
                <c:pt idx="7">
                  <c:v>2087.3408319281066</c:v>
                </c:pt>
                <c:pt idx="8">
                  <c:v>2052.8802535875348</c:v>
                </c:pt>
                <c:pt idx="9">
                  <c:v>2324.9739168969268</c:v>
                </c:pt>
                <c:pt idx="10">
                  <c:v>2165.705817043262</c:v>
                </c:pt>
                <c:pt idx="11">
                  <c:v>1821.1219875382183</c:v>
                </c:pt>
              </c:numCache>
            </c:numRef>
          </c:val>
        </c:ser>
        <c:ser>
          <c:idx val="4"/>
          <c:order val="4"/>
          <c:tx>
            <c:strRef>
              <c:f>'Adjusted Pt days'!$F$4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'Adjusted Pt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'Adjusted Pt days'!$F$5:$F$16</c:f>
              <c:numCache>
                <c:formatCode>_(* #,##0_);_(* \(#,##0\);_(* "-"??_);_(@_)</c:formatCode>
                <c:ptCount val="12"/>
                <c:pt idx="0">
                  <c:v>2233.4871816692666</c:v>
                </c:pt>
                <c:pt idx="1">
                  <c:v>2148.4365344069129</c:v>
                </c:pt>
                <c:pt idx="2">
                  <c:v>2244.9705215305294</c:v>
                </c:pt>
                <c:pt idx="3">
                  <c:v>2338.2555373217665</c:v>
                </c:pt>
                <c:pt idx="4">
                  <c:v>2053.3853042894334</c:v>
                </c:pt>
                <c:pt idx="5">
                  <c:v>2253.3003124862844</c:v>
                </c:pt>
                <c:pt idx="6">
                  <c:v>2609.9951005418025</c:v>
                </c:pt>
                <c:pt idx="7">
                  <c:v>1928.0036729480935</c:v>
                </c:pt>
                <c:pt idx="8">
                  <c:v>2806.2189873311963</c:v>
                </c:pt>
                <c:pt idx="9">
                  <c:v>2536.3861804040594</c:v>
                </c:pt>
                <c:pt idx="10">
                  <c:v>2442.853862590443</c:v>
                </c:pt>
                <c:pt idx="11">
                  <c:v>2619.35</c:v>
                </c:pt>
              </c:numCache>
            </c:numRef>
          </c:val>
        </c:ser>
        <c:ser>
          <c:idx val="5"/>
          <c:order val="5"/>
          <c:tx>
            <c:strRef>
              <c:f>'Adjusted Pt days'!$G$4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'Adjusted Pt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'Adjusted Pt days'!$G$5:$G$16</c:f>
              <c:numCache>
                <c:formatCode>_(* #,##0_);_(* \(#,##0\);_(* "-"??_);_(@_)</c:formatCode>
                <c:ptCount val="12"/>
                <c:pt idx="0">
                  <c:v>2847.6415227470497</c:v>
                </c:pt>
                <c:pt idx="1">
                  <c:v>2212.6515540364148</c:v>
                </c:pt>
                <c:pt idx="2">
                  <c:v>2220.498387749079</c:v>
                </c:pt>
                <c:pt idx="3">
                  <c:v>2408.7395075100549</c:v>
                </c:pt>
                <c:pt idx="4">
                  <c:v>2134.9218294485349</c:v>
                </c:pt>
                <c:pt idx="5">
                  <c:v>1947.7149577298833</c:v>
                </c:pt>
                <c:pt idx="6">
                  <c:v>2198.2844095811738</c:v>
                </c:pt>
                <c:pt idx="7">
                  <c:v>2189.6212510566693</c:v>
                </c:pt>
                <c:pt idx="8">
                  <c:v>1997.5052047851391</c:v>
                </c:pt>
                <c:pt idx="9">
                  <c:v>2048.8753740448806</c:v>
                </c:pt>
                <c:pt idx="10">
                  <c:v>1977.2222250155448</c:v>
                </c:pt>
                <c:pt idx="11">
                  <c:v>1869.6371757892498</c:v>
                </c:pt>
              </c:numCache>
            </c:numRef>
          </c:val>
        </c:ser>
        <c:ser>
          <c:idx val="6"/>
          <c:order val="6"/>
          <c:tx>
            <c:strRef>
              <c:f>'Adjusted Pt days'!$H$4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'Adjusted Pt days'!$A$5:$A$16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'Adjusted Pt days'!$H$5:$H$16</c:f>
              <c:numCache>
                <c:formatCode>_(* #,##0_);_(* \(#,##0\);_(* "-"??_);_(@_)</c:formatCode>
                <c:ptCount val="12"/>
                <c:pt idx="0">
                  <c:v>2079.6410232752569</c:v>
                </c:pt>
                <c:pt idx="1">
                  <c:v>2021.7838690337949</c:v>
                </c:pt>
                <c:pt idx="2">
                  <c:v>1991.9881048138545</c:v>
                </c:pt>
                <c:pt idx="3">
                  <c:v>1656.089182845192</c:v>
                </c:pt>
                <c:pt idx="4">
                  <c:v>2004.8577037855543</c:v>
                </c:pt>
                <c:pt idx="5">
                  <c:v>1753.5744338131158</c:v>
                </c:pt>
                <c:pt idx="6">
                  <c:v>1523.0601583642379</c:v>
                </c:pt>
                <c:pt idx="7">
                  <c:v>1382.1952944730447</c:v>
                </c:pt>
                <c:pt idx="8">
                  <c:v>1108.8549081341241</c:v>
                </c:pt>
                <c:pt idx="9">
                  <c:v>1388.4502900116004</c:v>
                </c:pt>
                <c:pt idx="10">
                  <c:v>1460.9303047780882</c:v>
                </c:pt>
                <c:pt idx="11">
                  <c:v>1693.086456294883</c:v>
                </c:pt>
              </c:numCache>
            </c:numRef>
          </c:val>
        </c:ser>
        <c:shape val="box"/>
        <c:axId val="71341568"/>
        <c:axId val="71343104"/>
        <c:axId val="0"/>
      </c:bar3DChart>
      <c:catAx>
        <c:axId val="7134156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43104"/>
        <c:crosses val="autoZero"/>
        <c:auto val="1"/>
        <c:lblAlgn val="ctr"/>
        <c:lblOffset val="100"/>
        <c:tickLblSkip val="1"/>
        <c:tickMarkSkip val="1"/>
      </c:catAx>
      <c:valAx>
        <c:axId val="713431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41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062645815106434"/>
          <c:y val="0.57704918032786889"/>
          <c:w val="0.99305719597550268"/>
          <c:h val="0.855737704918032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Surgeries</a:t>
            </a:r>
          </a:p>
        </c:rich>
      </c:tx>
      <c:layout>
        <c:manualLayout>
          <c:xMode val="edge"/>
          <c:yMode val="edge"/>
          <c:x val="0.36284776902887161"/>
          <c:y val="3.6065573770491806E-2"/>
        </c:manualLayout>
      </c:layout>
      <c:spPr>
        <a:noFill/>
        <a:ln w="25400">
          <a:noFill/>
        </a:ln>
      </c:spPr>
    </c:title>
    <c:view3D>
      <c:hPercent val="42"/>
      <c:depthPercent val="100"/>
      <c:rAngAx val="1"/>
    </c:view3D>
    <c:floor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2916790291324723E-2"/>
          <c:y val="0.27868852459016391"/>
          <c:w val="0.83333474618656789"/>
          <c:h val="0.59016393442622928"/>
        </c:manualLayout>
      </c:layout>
      <c:bar3DChart>
        <c:barDir val="col"/>
        <c:grouping val="clustered"/>
        <c:ser>
          <c:idx val="0"/>
          <c:order val="0"/>
          <c:tx>
            <c:strRef>
              <c:f>Surgeries!$B$4</c:f>
              <c:strCache>
                <c:ptCount val="1"/>
                <c:pt idx="0">
                  <c:v>2000</c:v>
                </c:pt>
              </c:strCache>
            </c:strRef>
          </c:tx>
          <c:spPr>
            <a:pattFill prst="dashDnDiag">
              <a:fgClr>
                <a:srgbClr val="808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Surgeries!$A$5:$A$16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Surgeries!$B$5:$B$16</c:f>
            </c:numRef>
          </c:val>
        </c:ser>
        <c:ser>
          <c:idx val="1"/>
          <c:order val="1"/>
          <c:tx>
            <c:strRef>
              <c:f>Surgeries!$C$4</c:f>
              <c:strCache>
                <c:ptCount val="1"/>
                <c:pt idx="0">
                  <c:v>2001</c:v>
                </c:pt>
              </c:strCache>
            </c:strRef>
          </c:tx>
          <c:spPr>
            <a:pattFill prst="wdDnDiag">
              <a:fgClr>
                <a:srgbClr val="FF66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Surgeries!$A$5:$A$16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Surgeries!$C$5:$C$16</c:f>
            </c:numRef>
          </c:val>
        </c:ser>
        <c:ser>
          <c:idx val="2"/>
          <c:order val="2"/>
          <c:tx>
            <c:strRef>
              <c:f>Surgeries!$D$4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Ref>
              <c:f>Surgeries!$A$5:$A$16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Surgeries!$D$5:$D$16</c:f>
            </c:numRef>
          </c:val>
        </c:ser>
        <c:ser>
          <c:idx val="3"/>
          <c:order val="3"/>
          <c:tx>
            <c:strRef>
              <c:f>Surgeries!$E$4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Surgeries!$A$5:$A$16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Surgeries!$E$5:$E$16</c:f>
              <c:numCache>
                <c:formatCode>General</c:formatCode>
                <c:ptCount val="12"/>
                <c:pt idx="0">
                  <c:v>191</c:v>
                </c:pt>
                <c:pt idx="1">
                  <c:v>174</c:v>
                </c:pt>
                <c:pt idx="2">
                  <c:v>251</c:v>
                </c:pt>
                <c:pt idx="3">
                  <c:v>200</c:v>
                </c:pt>
                <c:pt idx="4">
                  <c:v>210</c:v>
                </c:pt>
                <c:pt idx="5">
                  <c:v>219</c:v>
                </c:pt>
                <c:pt idx="6">
                  <c:v>204</c:v>
                </c:pt>
                <c:pt idx="7">
                  <c:v>255</c:v>
                </c:pt>
                <c:pt idx="8">
                  <c:v>222</c:v>
                </c:pt>
                <c:pt idx="9">
                  <c:v>210</c:v>
                </c:pt>
                <c:pt idx="10">
                  <c:v>249</c:v>
                </c:pt>
                <c:pt idx="11">
                  <c:v>200</c:v>
                </c:pt>
              </c:numCache>
            </c:numRef>
          </c:val>
        </c:ser>
        <c:ser>
          <c:idx val="4"/>
          <c:order val="4"/>
          <c:tx>
            <c:strRef>
              <c:f>Surgeries!$F$4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Surgeries!$A$5:$A$16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Surgeries!$F$5:$F$16</c:f>
              <c:numCache>
                <c:formatCode>General</c:formatCode>
                <c:ptCount val="12"/>
                <c:pt idx="0">
                  <c:v>215</c:v>
                </c:pt>
                <c:pt idx="1">
                  <c:v>212</c:v>
                </c:pt>
                <c:pt idx="2">
                  <c:v>199</c:v>
                </c:pt>
                <c:pt idx="3">
                  <c:v>229</c:v>
                </c:pt>
                <c:pt idx="4">
                  <c:v>234</c:v>
                </c:pt>
                <c:pt idx="5">
                  <c:v>248</c:v>
                </c:pt>
                <c:pt idx="6">
                  <c:v>212</c:v>
                </c:pt>
                <c:pt idx="7">
                  <c:v>269</c:v>
                </c:pt>
                <c:pt idx="8">
                  <c:v>200</c:v>
                </c:pt>
                <c:pt idx="9">
                  <c:v>201</c:v>
                </c:pt>
                <c:pt idx="10">
                  <c:v>220</c:v>
                </c:pt>
                <c:pt idx="11">
                  <c:v>224</c:v>
                </c:pt>
              </c:numCache>
            </c:numRef>
          </c:val>
        </c:ser>
        <c:ser>
          <c:idx val="5"/>
          <c:order val="5"/>
          <c:tx>
            <c:strRef>
              <c:f>Surgeries!$G$4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Surgeries!$A$5:$A$16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Surgeries!$G$5:$G$16</c:f>
              <c:numCache>
                <c:formatCode>General</c:formatCode>
                <c:ptCount val="12"/>
                <c:pt idx="0">
                  <c:v>248</c:v>
                </c:pt>
                <c:pt idx="1">
                  <c:v>172</c:v>
                </c:pt>
                <c:pt idx="2">
                  <c:v>177</c:v>
                </c:pt>
                <c:pt idx="3">
                  <c:v>228</c:v>
                </c:pt>
                <c:pt idx="4">
                  <c:v>219</c:v>
                </c:pt>
                <c:pt idx="5">
                  <c:v>234</c:v>
                </c:pt>
                <c:pt idx="6" formatCode="0">
                  <c:v>191</c:v>
                </c:pt>
                <c:pt idx="7">
                  <c:v>257</c:v>
                </c:pt>
                <c:pt idx="8">
                  <c:v>216</c:v>
                </c:pt>
                <c:pt idx="9">
                  <c:v>236</c:v>
                </c:pt>
                <c:pt idx="10">
                  <c:v>165</c:v>
                </c:pt>
                <c:pt idx="11">
                  <c:v>186</c:v>
                </c:pt>
              </c:numCache>
            </c:numRef>
          </c:val>
        </c:ser>
        <c:ser>
          <c:idx val="6"/>
          <c:order val="6"/>
          <c:tx>
            <c:strRef>
              <c:f>Surgeries!$H$4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Surgeries!$A$5:$A$16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Surgeries!$H$5:$H$16</c:f>
              <c:numCache>
                <c:formatCode>General</c:formatCode>
                <c:ptCount val="12"/>
                <c:pt idx="0">
                  <c:v>174</c:v>
                </c:pt>
                <c:pt idx="1">
                  <c:v>184</c:v>
                </c:pt>
                <c:pt idx="2">
                  <c:v>159</c:v>
                </c:pt>
                <c:pt idx="3">
                  <c:v>191</c:v>
                </c:pt>
                <c:pt idx="4">
                  <c:v>230</c:v>
                </c:pt>
                <c:pt idx="5">
                  <c:v>180</c:v>
                </c:pt>
                <c:pt idx="6">
                  <c:v>226</c:v>
                </c:pt>
                <c:pt idx="7">
                  <c:v>220</c:v>
                </c:pt>
                <c:pt idx="8">
                  <c:v>188</c:v>
                </c:pt>
                <c:pt idx="9">
                  <c:v>208</c:v>
                </c:pt>
                <c:pt idx="10">
                  <c:v>150</c:v>
                </c:pt>
                <c:pt idx="11">
                  <c:v>203</c:v>
                </c:pt>
              </c:numCache>
            </c:numRef>
          </c:val>
        </c:ser>
        <c:shape val="box"/>
        <c:axId val="71426048"/>
        <c:axId val="71427584"/>
        <c:axId val="0"/>
      </c:bar3DChart>
      <c:catAx>
        <c:axId val="7142604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27584"/>
        <c:crosses val="autoZero"/>
        <c:auto val="1"/>
        <c:lblAlgn val="ctr"/>
        <c:lblOffset val="100"/>
        <c:tickLblSkip val="1"/>
        <c:tickMarkSkip val="1"/>
      </c:catAx>
      <c:valAx>
        <c:axId val="71427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26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8889034703995329"/>
          <c:y val="0.5573770491803276"/>
          <c:w val="0.99132108486439163"/>
          <c:h val="0.836065573770491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ER Visits</a:t>
            </a:r>
          </a:p>
        </c:rich>
      </c:tx>
      <c:layout>
        <c:manualLayout>
          <c:xMode val="edge"/>
          <c:yMode val="edge"/>
          <c:x val="0.36869565217391304"/>
          <c:y val="5.2459016393442623E-2"/>
        </c:manualLayout>
      </c:layout>
      <c:spPr>
        <a:noFill/>
        <a:ln w="25400">
          <a:noFill/>
        </a:ln>
      </c:spPr>
    </c:title>
    <c:view3D>
      <c:hPercent val="42"/>
      <c:depthPercent val="100"/>
      <c:rAngAx val="1"/>
    </c:view3D>
    <c:floor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913043478260891E-2"/>
          <c:y val="0.27540983606557384"/>
          <c:w val="0.80869565217391359"/>
          <c:h val="0.59672131147540985"/>
        </c:manualLayout>
      </c:layout>
      <c:bar3DChart>
        <c:barDir val="col"/>
        <c:grouping val="clustered"/>
        <c:ser>
          <c:idx val="0"/>
          <c:order val="0"/>
          <c:tx>
            <c:strRef>
              <c:f>'ER Visits'!$B$4</c:f>
              <c:strCache>
                <c:ptCount val="1"/>
                <c:pt idx="0">
                  <c:v>2000</c:v>
                </c:pt>
              </c:strCache>
            </c:strRef>
          </c:tx>
          <c:spPr>
            <a:pattFill prst="dashDnDiag">
              <a:fgClr>
                <a:srgbClr val="808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'ER Visits'!$A$5:$A$16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'ER Visits'!$B$5:$B$16</c:f>
            </c:numRef>
          </c:val>
        </c:ser>
        <c:ser>
          <c:idx val="1"/>
          <c:order val="1"/>
          <c:tx>
            <c:strRef>
              <c:f>'ER Visits'!$C$4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Ref>
              <c:f>'ER Visits'!$A$5:$A$16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'ER Visits'!$C$5:$C$16</c:f>
            </c:numRef>
          </c:val>
        </c:ser>
        <c:ser>
          <c:idx val="2"/>
          <c:order val="2"/>
          <c:tx>
            <c:strRef>
              <c:f>'ER Visits'!$D$4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Ref>
              <c:f>'ER Visits'!$A$5:$A$16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'ER Visits'!$D$5:$D$16</c:f>
            </c:numRef>
          </c:val>
        </c:ser>
        <c:ser>
          <c:idx val="3"/>
          <c:order val="3"/>
          <c:tx>
            <c:strRef>
              <c:f>'ER Visits'!$E$4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'ER Visits'!$A$5:$A$16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'ER Visits'!$E$5:$E$16</c:f>
              <c:numCache>
                <c:formatCode>General</c:formatCode>
                <c:ptCount val="12"/>
                <c:pt idx="0">
                  <c:v>954</c:v>
                </c:pt>
                <c:pt idx="1">
                  <c:v>1033</c:v>
                </c:pt>
                <c:pt idx="2">
                  <c:v>1128</c:v>
                </c:pt>
                <c:pt idx="3">
                  <c:v>998</c:v>
                </c:pt>
                <c:pt idx="4">
                  <c:v>1001</c:v>
                </c:pt>
                <c:pt idx="5">
                  <c:v>1055</c:v>
                </c:pt>
                <c:pt idx="6">
                  <c:v>1111</c:v>
                </c:pt>
                <c:pt idx="7">
                  <c:v>1062</c:v>
                </c:pt>
                <c:pt idx="8">
                  <c:v>1036</c:v>
                </c:pt>
                <c:pt idx="9">
                  <c:v>966</c:v>
                </c:pt>
                <c:pt idx="10">
                  <c:v>974</c:v>
                </c:pt>
                <c:pt idx="11">
                  <c:v>877</c:v>
                </c:pt>
              </c:numCache>
            </c:numRef>
          </c:val>
        </c:ser>
        <c:ser>
          <c:idx val="4"/>
          <c:order val="4"/>
          <c:tx>
            <c:strRef>
              <c:f>'ER Visits'!$F$4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'ER Visits'!$A$5:$A$16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'ER Visits'!$F$5:$F$16</c:f>
              <c:numCache>
                <c:formatCode>General</c:formatCode>
                <c:ptCount val="12"/>
                <c:pt idx="0">
                  <c:v>1006</c:v>
                </c:pt>
                <c:pt idx="1">
                  <c:v>852</c:v>
                </c:pt>
                <c:pt idx="2">
                  <c:v>1031</c:v>
                </c:pt>
                <c:pt idx="3">
                  <c:v>1093</c:v>
                </c:pt>
                <c:pt idx="4">
                  <c:v>1129</c:v>
                </c:pt>
                <c:pt idx="5">
                  <c:v>1024</c:v>
                </c:pt>
                <c:pt idx="6">
                  <c:v>1090</c:v>
                </c:pt>
                <c:pt idx="7">
                  <c:v>994</c:v>
                </c:pt>
                <c:pt idx="8">
                  <c:v>1020</c:v>
                </c:pt>
                <c:pt idx="9">
                  <c:v>1036</c:v>
                </c:pt>
                <c:pt idx="10">
                  <c:v>970</c:v>
                </c:pt>
                <c:pt idx="11">
                  <c:v>995</c:v>
                </c:pt>
              </c:numCache>
            </c:numRef>
          </c:val>
        </c:ser>
        <c:ser>
          <c:idx val="5"/>
          <c:order val="5"/>
          <c:tx>
            <c:strRef>
              <c:f>'ER Visits'!$G$4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'ER Visits'!$A$5:$A$16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'ER Visits'!$G$5:$G$16</c:f>
              <c:numCache>
                <c:formatCode>General</c:formatCode>
                <c:ptCount val="12"/>
                <c:pt idx="0">
                  <c:v>906</c:v>
                </c:pt>
                <c:pt idx="1">
                  <c:v>886</c:v>
                </c:pt>
                <c:pt idx="2">
                  <c:v>954</c:v>
                </c:pt>
                <c:pt idx="3">
                  <c:v>980</c:v>
                </c:pt>
                <c:pt idx="4">
                  <c:v>1002</c:v>
                </c:pt>
                <c:pt idx="5">
                  <c:v>963</c:v>
                </c:pt>
                <c:pt idx="6">
                  <c:v>1011</c:v>
                </c:pt>
                <c:pt idx="7">
                  <c:v>931</c:v>
                </c:pt>
                <c:pt idx="8">
                  <c:v>938</c:v>
                </c:pt>
                <c:pt idx="9">
                  <c:v>905</c:v>
                </c:pt>
                <c:pt idx="10">
                  <c:v>892</c:v>
                </c:pt>
                <c:pt idx="11">
                  <c:v>906</c:v>
                </c:pt>
              </c:numCache>
            </c:numRef>
          </c:val>
        </c:ser>
        <c:ser>
          <c:idx val="6"/>
          <c:order val="6"/>
          <c:tx>
            <c:strRef>
              <c:f>'ER Visits'!$H$4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'ER Visits'!$A$5:$A$16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'ER Visits'!$H$5:$H$16</c:f>
              <c:numCache>
                <c:formatCode>General</c:formatCode>
                <c:ptCount val="12"/>
                <c:pt idx="0">
                  <c:v>858</c:v>
                </c:pt>
                <c:pt idx="1">
                  <c:v>948</c:v>
                </c:pt>
                <c:pt idx="2">
                  <c:v>908</c:v>
                </c:pt>
                <c:pt idx="3">
                  <c:v>910</c:v>
                </c:pt>
                <c:pt idx="4">
                  <c:v>993</c:v>
                </c:pt>
                <c:pt idx="5">
                  <c:v>908</c:v>
                </c:pt>
                <c:pt idx="6">
                  <c:v>992</c:v>
                </c:pt>
                <c:pt idx="7">
                  <c:v>1003</c:v>
                </c:pt>
                <c:pt idx="8">
                  <c:v>957</c:v>
                </c:pt>
                <c:pt idx="9">
                  <c:v>874</c:v>
                </c:pt>
                <c:pt idx="10">
                  <c:v>901</c:v>
                </c:pt>
                <c:pt idx="11">
                  <c:v>904</c:v>
                </c:pt>
              </c:numCache>
            </c:numRef>
          </c:val>
        </c:ser>
        <c:shape val="box"/>
        <c:axId val="71510656"/>
        <c:axId val="71524736"/>
        <c:axId val="0"/>
      </c:bar3DChart>
      <c:catAx>
        <c:axId val="7151065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24736"/>
        <c:crosses val="autoZero"/>
        <c:auto val="1"/>
        <c:lblAlgn val="ctr"/>
        <c:lblOffset val="100"/>
        <c:tickLblSkip val="1"/>
        <c:tickMarkSkip val="1"/>
      </c:catAx>
      <c:valAx>
        <c:axId val="715247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10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391304347826062"/>
          <c:y val="0.57377049180327888"/>
          <c:w val="0.99304347826086969"/>
          <c:h val="0.8524590163934431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Salaries % of Net Revenue</a:t>
            </a:r>
          </a:p>
        </c:rich>
      </c:tx>
      <c:layout>
        <c:manualLayout>
          <c:xMode val="edge"/>
          <c:yMode val="edge"/>
          <c:x val="0.14434782608695651"/>
          <c:y val="3.5947712418300665E-2"/>
        </c:manualLayout>
      </c:layout>
      <c:spPr>
        <a:noFill/>
        <a:ln w="25400">
          <a:noFill/>
        </a:ln>
      </c:spPr>
    </c:title>
    <c:view3D>
      <c:hPercent val="42"/>
      <c:depthPercent val="100"/>
      <c:rAngAx val="1"/>
    </c:view3D>
    <c:floor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739130434782606E-2"/>
          <c:y val="0.28104664856084238"/>
          <c:w val="0.82956521739130462"/>
          <c:h val="0.58823717140641385"/>
        </c:manualLayout>
      </c:layout>
      <c:bar3DChart>
        <c:barDir val="col"/>
        <c:grouping val="clustered"/>
        <c:ser>
          <c:idx val="4"/>
          <c:order val="0"/>
          <c:tx>
            <c:strRef>
              <c:f>'Sal % Net Rev'!$B$34</c:f>
              <c:strCache>
                <c:ptCount val="1"/>
                <c:pt idx="0">
                  <c:v>2000</c:v>
                </c:pt>
              </c:strCache>
            </c:strRef>
          </c:tx>
          <c:cat>
            <c:strRef>
              <c:f>'Sal % Net Rev'!$A$35:$A$46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 % Net Rev'!$B$35:$B$46</c:f>
            </c:numRef>
          </c:val>
        </c:ser>
        <c:ser>
          <c:idx val="5"/>
          <c:order val="1"/>
          <c:tx>
            <c:strRef>
              <c:f>'Sal % Net Rev'!$C$34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'Sal % Net Rev'!$A$35:$A$46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 % Net Rev'!$C$35:$C$46</c:f>
            </c:numRef>
          </c:val>
        </c:ser>
        <c:ser>
          <c:idx val="0"/>
          <c:order val="2"/>
          <c:tx>
            <c:strRef>
              <c:f>'Sal % Net Rev'!$D$34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Ref>
              <c:f>'Sal % Net Rev'!$A$35:$A$46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 % Net Rev'!$D$35:$D$46</c:f>
            </c:numRef>
          </c:val>
        </c:ser>
        <c:ser>
          <c:idx val="1"/>
          <c:order val="3"/>
          <c:tx>
            <c:strRef>
              <c:f>'Sal % Net Rev'!$E$34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'Sal % Net Rev'!$A$35:$A$46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 % Net Rev'!$E$35:$E$46</c:f>
              <c:numCache>
                <c:formatCode>0.00%</c:formatCode>
                <c:ptCount val="12"/>
                <c:pt idx="0">
                  <c:v>0.67972500490421783</c:v>
                </c:pt>
                <c:pt idx="1">
                  <c:v>0.5389068422835086</c:v>
                </c:pt>
                <c:pt idx="2">
                  <c:v>0.5048071851127528</c:v>
                </c:pt>
                <c:pt idx="3">
                  <c:v>0.54934490799195856</c:v>
                </c:pt>
                <c:pt idx="4">
                  <c:v>0.64983163817555323</c:v>
                </c:pt>
                <c:pt idx="5">
                  <c:v>0.53805203474580898</c:v>
                </c:pt>
                <c:pt idx="6">
                  <c:v>0.60171274481576931</c:v>
                </c:pt>
                <c:pt idx="7">
                  <c:v>0.56001649675985177</c:v>
                </c:pt>
                <c:pt idx="8">
                  <c:v>0.53431858326745674</c:v>
                </c:pt>
                <c:pt idx="9">
                  <c:v>0.53018645630882044</c:v>
                </c:pt>
                <c:pt idx="10">
                  <c:v>0.53032060351324939</c:v>
                </c:pt>
                <c:pt idx="11">
                  <c:v>0.45526521422769783</c:v>
                </c:pt>
              </c:numCache>
            </c:numRef>
          </c:val>
        </c:ser>
        <c:ser>
          <c:idx val="2"/>
          <c:order val="4"/>
          <c:tx>
            <c:strRef>
              <c:f>'Sal % Net Rev'!$F$34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'Sal % Net Rev'!$A$35:$A$46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 % Net Rev'!$F$35:$F$46</c:f>
              <c:numCache>
                <c:formatCode>0.00%</c:formatCode>
                <c:ptCount val="12"/>
                <c:pt idx="0">
                  <c:v>0.52613726445625852</c:v>
                </c:pt>
                <c:pt idx="1">
                  <c:v>0.5316030453379178</c:v>
                </c:pt>
                <c:pt idx="2">
                  <c:v>0.55341127379754851</c:v>
                </c:pt>
                <c:pt idx="3">
                  <c:v>0.58157210793356739</c:v>
                </c:pt>
                <c:pt idx="4">
                  <c:v>0.74870651727576687</c:v>
                </c:pt>
                <c:pt idx="5">
                  <c:v>0.61114968837530292</c:v>
                </c:pt>
                <c:pt idx="6">
                  <c:v>0.61637171978102478</c:v>
                </c:pt>
                <c:pt idx="7">
                  <c:v>0.56115316228611067</c:v>
                </c:pt>
                <c:pt idx="8">
                  <c:v>0.7431519694104568</c:v>
                </c:pt>
                <c:pt idx="9">
                  <c:v>0.53094124601506609</c:v>
                </c:pt>
                <c:pt idx="10">
                  <c:v>0.6594325989752774</c:v>
                </c:pt>
                <c:pt idx="11">
                  <c:v>0.58104893461216478</c:v>
                </c:pt>
              </c:numCache>
            </c:numRef>
          </c:val>
        </c:ser>
        <c:ser>
          <c:idx val="3"/>
          <c:order val="5"/>
          <c:tx>
            <c:strRef>
              <c:f>'Sal % Net Rev'!$G$34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'Sal % Net Rev'!$A$35:$A$46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 % Net Rev'!$G$35:$G$46</c:f>
              <c:numCache>
                <c:formatCode>0.00%</c:formatCode>
                <c:ptCount val="12"/>
                <c:pt idx="0">
                  <c:v>0.51280684291240408</c:v>
                </c:pt>
                <c:pt idx="1">
                  <c:v>0.62094583296687555</c:v>
                </c:pt>
                <c:pt idx="2">
                  <c:v>0.61192531771429681</c:v>
                </c:pt>
                <c:pt idx="3">
                  <c:v>0.55295292996400069</c:v>
                </c:pt>
                <c:pt idx="4">
                  <c:v>0.63352445500253762</c:v>
                </c:pt>
                <c:pt idx="5">
                  <c:v>0.57829244138770652</c:v>
                </c:pt>
                <c:pt idx="6">
                  <c:v>0.71709953654912362</c:v>
                </c:pt>
                <c:pt idx="7">
                  <c:v>0.62567190466724909</c:v>
                </c:pt>
                <c:pt idx="8">
                  <c:v>0.73976099212490687</c:v>
                </c:pt>
                <c:pt idx="9">
                  <c:v>0.73429419090049874</c:v>
                </c:pt>
                <c:pt idx="10">
                  <c:v>0.63710104248391086</c:v>
                </c:pt>
                <c:pt idx="11">
                  <c:v>0.67577076073268083</c:v>
                </c:pt>
              </c:numCache>
            </c:numRef>
          </c:val>
        </c:ser>
        <c:ser>
          <c:idx val="6"/>
          <c:order val="6"/>
          <c:tx>
            <c:strRef>
              <c:f>'Sal % Net Rev'!$H$34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'Sal % Net Rev'!$A$35:$A$46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'Sal % Net Rev'!$H$35:$H$46</c:f>
              <c:numCache>
                <c:formatCode>0.00%</c:formatCode>
                <c:ptCount val="12"/>
                <c:pt idx="0">
                  <c:v>0.67858818582321623</c:v>
                </c:pt>
                <c:pt idx="1">
                  <c:v>0.57603681695991171</c:v>
                </c:pt>
                <c:pt idx="2">
                  <c:v>0.68400224649775743</c:v>
                </c:pt>
                <c:pt idx="3">
                  <c:v>0.58809966943526204</c:v>
                </c:pt>
                <c:pt idx="4">
                  <c:v>0.53483392186209833</c:v>
                </c:pt>
                <c:pt idx="5">
                  <c:v>0.73626876814599751</c:v>
                </c:pt>
                <c:pt idx="6">
                  <c:v>0.80662489617225797</c:v>
                </c:pt>
                <c:pt idx="7">
                  <c:v>0.69234834895221742</c:v>
                </c:pt>
                <c:pt idx="8">
                  <c:v>0.74657765721766844</c:v>
                </c:pt>
                <c:pt idx="9">
                  <c:v>0.80908920194947309</c:v>
                </c:pt>
                <c:pt idx="10">
                  <c:v>0.87473604533122995</c:v>
                </c:pt>
                <c:pt idx="11">
                  <c:v>0.72939336198589477</c:v>
                </c:pt>
              </c:numCache>
            </c:numRef>
          </c:val>
        </c:ser>
        <c:shape val="box"/>
        <c:axId val="71586944"/>
        <c:axId val="71588480"/>
        <c:axId val="0"/>
      </c:bar3DChart>
      <c:catAx>
        <c:axId val="7158694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88480"/>
        <c:crosses val="autoZero"/>
        <c:auto val="1"/>
        <c:lblAlgn val="ctr"/>
        <c:lblOffset val="100"/>
        <c:tickLblSkip val="1"/>
        <c:tickMarkSkip val="1"/>
      </c:catAx>
      <c:valAx>
        <c:axId val="71588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86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391304347826062"/>
          <c:y val="0.57516511416465099"/>
          <c:w val="0.99130434782608667"/>
          <c:h val="0.8529439212255333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Supplies Percent of Net Revenue</a:t>
            </a:r>
          </a:p>
        </c:rich>
      </c:tx>
      <c:layout>
        <c:manualLayout>
          <c:xMode val="edge"/>
          <c:yMode val="edge"/>
          <c:x val="0.21006980898221059"/>
          <c:y val="4.95049504950495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11129949154237"/>
          <c:y val="0.17491805550631556"/>
          <c:w val="0.83854308835023361"/>
          <c:h val="0.5907609799175555"/>
        </c:manualLayout>
      </c:layout>
      <c:lineChart>
        <c:grouping val="standard"/>
        <c:ser>
          <c:idx val="0"/>
          <c:order val="0"/>
          <c:tx>
            <c:strRef>
              <c:f>'Supply Reductions'!$B$4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'Supply Reductions'!$A$5:$A$16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'Supply Reductions'!$B$5:$B$16</c:f>
              <c:numCache>
                <c:formatCode>0.0%</c:formatCode>
                <c:ptCount val="12"/>
              </c:numCache>
            </c:numRef>
          </c:val>
        </c:ser>
        <c:ser>
          <c:idx val="1"/>
          <c:order val="1"/>
          <c:tx>
            <c:strRef>
              <c:f>'Supply Reductions'!$C$4</c:f>
              <c:strCache>
                <c:ptCount val="1"/>
                <c:pt idx="0">
                  <c:v>2008 Actual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'Supply Reductions'!$A$5:$A$16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'Supply Reductions'!$C$5:$C$16</c:f>
              <c:numCache>
                <c:formatCode>0.0%</c:formatCode>
                <c:ptCount val="12"/>
                <c:pt idx="0">
                  <c:v>0.12172039248275962</c:v>
                </c:pt>
                <c:pt idx="1">
                  <c:v>0.10627612879124984</c:v>
                </c:pt>
                <c:pt idx="2">
                  <c:v>0.13567217805210344</c:v>
                </c:pt>
                <c:pt idx="3">
                  <c:v>0.1579595793133611</c:v>
                </c:pt>
                <c:pt idx="4">
                  <c:v>0.1167131548380443</c:v>
                </c:pt>
                <c:pt idx="5">
                  <c:v>0.14507857939671681</c:v>
                </c:pt>
                <c:pt idx="6">
                  <c:v>0.14138496943307355</c:v>
                </c:pt>
                <c:pt idx="7">
                  <c:v>0.15551673432453153</c:v>
                </c:pt>
                <c:pt idx="8">
                  <c:v>0.1836382518817371</c:v>
                </c:pt>
                <c:pt idx="9">
                  <c:v>0.15443061119019677</c:v>
                </c:pt>
                <c:pt idx="10">
                  <c:v>0.19618474527338139</c:v>
                </c:pt>
                <c:pt idx="11">
                  <c:v>0.17690641800352871</c:v>
                </c:pt>
              </c:numCache>
            </c:numRef>
          </c:val>
        </c:ser>
        <c:ser>
          <c:idx val="2"/>
          <c:order val="2"/>
          <c:tx>
            <c:strRef>
              <c:f>'Supply Reductions'!$D$4</c:f>
              <c:strCache>
                <c:ptCount val="1"/>
                <c:pt idx="0">
                  <c:v>2007 Actual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'Supply Reductions'!$A$5:$A$16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'Supply Reductions'!$D$5:$D$16</c:f>
              <c:numCache>
                <c:formatCode>0.0%</c:formatCode>
                <c:ptCount val="12"/>
                <c:pt idx="0">
                  <c:v>0.12107309214443315</c:v>
                </c:pt>
                <c:pt idx="1">
                  <c:v>0.10863801108883028</c:v>
                </c:pt>
                <c:pt idx="2">
                  <c:v>0.15434235444280045</c:v>
                </c:pt>
                <c:pt idx="3">
                  <c:v>0.11897550826020645</c:v>
                </c:pt>
                <c:pt idx="4">
                  <c:v>0.12809968677442274</c:v>
                </c:pt>
                <c:pt idx="5">
                  <c:v>0.14128697004440566</c:v>
                </c:pt>
                <c:pt idx="6">
                  <c:v>0.16059140743048059</c:v>
                </c:pt>
                <c:pt idx="7">
                  <c:v>0.1617894532570234</c:v>
                </c:pt>
                <c:pt idx="8">
                  <c:v>0.17665207768218202</c:v>
                </c:pt>
                <c:pt idx="9">
                  <c:v>0.16635294760470914</c:v>
                </c:pt>
                <c:pt idx="10">
                  <c:v>0.18120563512482923</c:v>
                </c:pt>
                <c:pt idx="11">
                  <c:v>0.14957741303865679</c:v>
                </c:pt>
              </c:numCache>
            </c:numRef>
          </c:val>
        </c:ser>
        <c:ser>
          <c:idx val="3"/>
          <c:order val="3"/>
          <c:tx>
            <c:strRef>
              <c:f>'Supply Reductions'!$E$4</c:f>
              <c:strCache>
                <c:ptCount val="1"/>
                <c:pt idx="0">
                  <c:v>2006 Actual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'Supply Reductions'!$A$5:$A$16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'Supply Reductions'!$E$5:$E$16</c:f>
              <c:numCache>
                <c:formatCode>0.0%</c:formatCode>
                <c:ptCount val="12"/>
                <c:pt idx="0">
                  <c:v>0.16703948410057518</c:v>
                </c:pt>
                <c:pt idx="1">
                  <c:v>0.1567069373046544</c:v>
                </c:pt>
                <c:pt idx="2">
                  <c:v>0.17033804568380945</c:v>
                </c:pt>
                <c:pt idx="3">
                  <c:v>0.13246675218036078</c:v>
                </c:pt>
                <c:pt idx="4">
                  <c:v>0.15404049542553105</c:v>
                </c:pt>
                <c:pt idx="5">
                  <c:v>0.17320155276837776</c:v>
                </c:pt>
                <c:pt idx="6">
                  <c:v>0.11938654914033597</c:v>
                </c:pt>
                <c:pt idx="7">
                  <c:v>0.14596205828336781</c:v>
                </c:pt>
                <c:pt idx="8">
                  <c:v>0.13439554751431712</c:v>
                </c:pt>
                <c:pt idx="9">
                  <c:v>0.11667755098462901</c:v>
                </c:pt>
                <c:pt idx="10">
                  <c:v>0.1579628090190805</c:v>
                </c:pt>
                <c:pt idx="11">
                  <c:v>0.12876141921159223</c:v>
                </c:pt>
              </c:numCache>
            </c:numRef>
          </c:val>
        </c:ser>
        <c:marker val="1"/>
        <c:axId val="71635328"/>
        <c:axId val="71637248"/>
      </c:lineChart>
      <c:catAx>
        <c:axId val="7163532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37248"/>
        <c:crosses val="autoZero"/>
        <c:auto val="1"/>
        <c:lblAlgn val="ctr"/>
        <c:lblOffset val="100"/>
        <c:tickLblSkip val="1"/>
        <c:tickMarkSkip val="1"/>
      </c:catAx>
      <c:valAx>
        <c:axId val="71637248"/>
        <c:scaling>
          <c:orientation val="minMax"/>
          <c:max val="0.22"/>
          <c:min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35328"/>
        <c:crosses val="autoZero"/>
        <c:crossBetween val="between"/>
        <c:majorUnit val="2.0000000000000007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354203120443288"/>
          <c:y val="0.89769254090763373"/>
          <c:w val="0.83159868037328688"/>
          <c:h val="0.976900808191055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Cash Collections and Days in
Gross A/R
(based on 3 months Gross revenue)</a:t>
            </a:r>
          </a:p>
        </c:rich>
      </c:tx>
      <c:layout>
        <c:manualLayout>
          <c:xMode val="edge"/>
          <c:yMode val="edge"/>
          <c:x val="0.22743092009332172"/>
          <c:y val="4.89510489510489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62523841898333"/>
          <c:y val="0.31818236140727707"/>
          <c:w val="0.62152883153081562"/>
          <c:h val="0.37762302232951539"/>
        </c:manualLayout>
      </c:layout>
      <c:lineChart>
        <c:grouping val="standard"/>
        <c:ser>
          <c:idx val="1"/>
          <c:order val="0"/>
          <c:tx>
            <c:v>Collections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'Days in AR gross'!$A$77:$A$89</c:f>
              <c:numCache>
                <c:formatCode>mmm\-yy</c:formatCode>
                <c:ptCount val="13"/>
                <c:pt idx="0">
                  <c:v>39447</c:v>
                </c:pt>
                <c:pt idx="1">
                  <c:v>39478</c:v>
                </c:pt>
                <c:pt idx="2">
                  <c:v>39507</c:v>
                </c:pt>
                <c:pt idx="3">
                  <c:v>39538</c:v>
                </c:pt>
                <c:pt idx="4">
                  <c:v>39568</c:v>
                </c:pt>
                <c:pt idx="5">
                  <c:v>39599</c:v>
                </c:pt>
                <c:pt idx="6">
                  <c:v>39629</c:v>
                </c:pt>
                <c:pt idx="7">
                  <c:v>39660</c:v>
                </c:pt>
                <c:pt idx="8">
                  <c:v>39691</c:v>
                </c:pt>
                <c:pt idx="9">
                  <c:v>39721</c:v>
                </c:pt>
                <c:pt idx="10">
                  <c:v>39752</c:v>
                </c:pt>
                <c:pt idx="11">
                  <c:v>39782</c:v>
                </c:pt>
                <c:pt idx="12">
                  <c:v>39813</c:v>
                </c:pt>
              </c:numCache>
            </c:numRef>
          </c:cat>
          <c:val>
            <c:numRef>
              <c:f>'Days in AR gross'!$B$77:$B$89</c:f>
              <c:numCache>
                <c:formatCode>_(* #,##0_);_(* \(#,##0\);_(* "-"??_);_(@_)</c:formatCode>
                <c:ptCount val="13"/>
                <c:pt idx="0">
                  <c:v>2567508.67</c:v>
                </c:pt>
                <c:pt idx="1">
                  <c:v>2765748.6</c:v>
                </c:pt>
                <c:pt idx="2">
                  <c:v>2774231.23</c:v>
                </c:pt>
                <c:pt idx="3">
                  <c:v>3086872.55</c:v>
                </c:pt>
                <c:pt idx="4">
                  <c:v>2705523.56</c:v>
                </c:pt>
                <c:pt idx="5">
                  <c:v>2592087.7799999998</c:v>
                </c:pt>
                <c:pt idx="6">
                  <c:v>2417861.31</c:v>
                </c:pt>
                <c:pt idx="7">
                  <c:v>2780803.81</c:v>
                </c:pt>
                <c:pt idx="8">
                  <c:v>2608840.86</c:v>
                </c:pt>
                <c:pt idx="9">
                  <c:v>2788317.91</c:v>
                </c:pt>
                <c:pt idx="10">
                  <c:v>2661229</c:v>
                </c:pt>
                <c:pt idx="11">
                  <c:v>2143621.02</c:v>
                </c:pt>
                <c:pt idx="12">
                  <c:v>2789612.46</c:v>
                </c:pt>
              </c:numCache>
            </c:numRef>
          </c:val>
        </c:ser>
        <c:marker val="1"/>
        <c:axId val="71671168"/>
        <c:axId val="71677440"/>
      </c:lineChart>
      <c:lineChart>
        <c:grouping val="standard"/>
        <c:ser>
          <c:idx val="0"/>
          <c:order val="1"/>
          <c:tx>
            <c:v>A/R Days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'Days in AR gross'!$A$77:$A$89</c:f>
              <c:numCache>
                <c:formatCode>mmm\-yy</c:formatCode>
                <c:ptCount val="13"/>
                <c:pt idx="0">
                  <c:v>39447</c:v>
                </c:pt>
                <c:pt idx="1">
                  <c:v>39478</c:v>
                </c:pt>
                <c:pt idx="2">
                  <c:v>39507</c:v>
                </c:pt>
                <c:pt idx="3">
                  <c:v>39538</c:v>
                </c:pt>
                <c:pt idx="4">
                  <c:v>39568</c:v>
                </c:pt>
                <c:pt idx="5">
                  <c:v>39599</c:v>
                </c:pt>
                <c:pt idx="6">
                  <c:v>39629</c:v>
                </c:pt>
                <c:pt idx="7">
                  <c:v>39660</c:v>
                </c:pt>
                <c:pt idx="8">
                  <c:v>39691</c:v>
                </c:pt>
                <c:pt idx="9">
                  <c:v>39721</c:v>
                </c:pt>
                <c:pt idx="10">
                  <c:v>39752</c:v>
                </c:pt>
                <c:pt idx="11">
                  <c:v>39782</c:v>
                </c:pt>
                <c:pt idx="12">
                  <c:v>39813</c:v>
                </c:pt>
              </c:numCache>
            </c:numRef>
          </c:cat>
          <c:val>
            <c:numRef>
              <c:f>'Days in AR gross'!$C$77:$C$89</c:f>
              <c:numCache>
                <c:formatCode>#,##0.0</c:formatCode>
                <c:ptCount val="13"/>
                <c:pt idx="0">
                  <c:v>82.337511226950426</c:v>
                </c:pt>
                <c:pt idx="1">
                  <c:v>83.871818631887564</c:v>
                </c:pt>
                <c:pt idx="2">
                  <c:v>77.380311043639864</c:v>
                </c:pt>
                <c:pt idx="3">
                  <c:v>73.633072591617193</c:v>
                </c:pt>
                <c:pt idx="4">
                  <c:v>74.221482938709613</c:v>
                </c:pt>
                <c:pt idx="5">
                  <c:v>70.689441397171947</c:v>
                </c:pt>
                <c:pt idx="6">
                  <c:v>69.239164235352717</c:v>
                </c:pt>
                <c:pt idx="7">
                  <c:v>68.765980653460957</c:v>
                </c:pt>
                <c:pt idx="8">
                  <c:v>64.613985429206096</c:v>
                </c:pt>
                <c:pt idx="9">
                  <c:v>59.227869758276135</c:v>
                </c:pt>
                <c:pt idx="10">
                  <c:v>56.61826107707855</c:v>
                </c:pt>
                <c:pt idx="11">
                  <c:v>61.953909824980265</c:v>
                </c:pt>
                <c:pt idx="12">
                  <c:v>63.172708392723109</c:v>
                </c:pt>
              </c:numCache>
            </c:numRef>
          </c:val>
        </c:ser>
        <c:marker val="1"/>
        <c:axId val="71678976"/>
        <c:axId val="71693056"/>
      </c:lineChart>
      <c:catAx>
        <c:axId val="71671168"/>
        <c:scaling>
          <c:orientation val="minMax"/>
        </c:scaling>
        <c:axPos val="b"/>
        <c:numFmt formatCode="mmm\ \ yy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77440"/>
        <c:crosses val="autoZero"/>
        <c:lblAlgn val="ctr"/>
        <c:lblOffset val="100"/>
        <c:tickLblSkip val="1"/>
        <c:tickMarkSkip val="1"/>
      </c:catAx>
      <c:valAx>
        <c:axId val="71677440"/>
        <c:scaling>
          <c:orientation val="minMax"/>
          <c:min val="150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71168"/>
        <c:crosses val="autoZero"/>
        <c:crossBetween val="between"/>
      </c:valAx>
      <c:catAx>
        <c:axId val="71678976"/>
        <c:scaling>
          <c:orientation val="minMax"/>
        </c:scaling>
        <c:delete val="1"/>
        <c:axPos val="b"/>
        <c:numFmt formatCode="mmm\-yy" sourceLinked="1"/>
        <c:tickLblPos val="none"/>
        <c:crossAx val="71693056"/>
        <c:crosses val="autoZero"/>
        <c:lblAlgn val="ctr"/>
        <c:lblOffset val="100"/>
      </c:catAx>
      <c:valAx>
        <c:axId val="71693056"/>
        <c:scaling>
          <c:orientation val="minMax"/>
          <c:min val="25"/>
        </c:scaling>
        <c:axPos val="r"/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789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507090259550931"/>
          <c:y val="0.37412660829983696"/>
          <c:w val="0.98611275153105826"/>
          <c:h val="0.573427674687517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2005 - 08 Admissions</a:t>
            </a:r>
          </a:p>
        </c:rich>
      </c:tx>
      <c:layout>
        <c:manualLayout>
          <c:xMode val="edge"/>
          <c:yMode val="edge"/>
          <c:x val="0.34328402979478323"/>
          <c:y val="3.6912751677852351E-2"/>
        </c:manualLayout>
      </c:layout>
      <c:spPr>
        <a:noFill/>
        <a:ln w="25400">
          <a:noFill/>
        </a:ln>
      </c:spPr>
    </c:title>
    <c:view3D>
      <c:hPercent val="56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8230348220894896E-2"/>
          <c:y val="0.20805403217745946"/>
          <c:w val="0.78038460777648566"/>
          <c:h val="0.62751780672878898"/>
        </c:manualLayout>
      </c:layout>
      <c:bar3DChart>
        <c:barDir val="col"/>
        <c:grouping val="clustered"/>
        <c:ser>
          <c:idx val="0"/>
          <c:order val="0"/>
          <c:tx>
            <c:strRef>
              <c:f>Admissions!$C$4</c:f>
              <c:strCache>
                <c:ptCount val="1"/>
                <c:pt idx="0">
                  <c:v>2001</c:v>
                </c:pt>
              </c:strCache>
            </c:strRef>
          </c:tx>
          <c:spPr>
            <a:pattFill prst="dashDnDiag">
              <a:fgClr>
                <a:srgbClr val="80008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Admissions!$A$5:$A$16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Admissions!$C$5:$C$16</c:f>
            </c:numRef>
          </c:val>
        </c:ser>
        <c:ser>
          <c:idx val="1"/>
          <c:order val="1"/>
          <c:tx>
            <c:strRef>
              <c:f>Admissions!$D$4</c:f>
              <c:strCache>
                <c:ptCount val="1"/>
                <c:pt idx="0">
                  <c:v>2004</c:v>
                </c:pt>
              </c:strCache>
            </c:strRef>
          </c:tx>
          <c:spPr>
            <a:pattFill prst="wdDnDiag">
              <a:fgClr>
                <a:srgbClr val="FF66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Admissions!$A$5:$A$16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Admissions!$D$5:$D$16</c:f>
            </c:numRef>
          </c:val>
        </c:ser>
        <c:ser>
          <c:idx val="2"/>
          <c:order val="2"/>
          <c:tx>
            <c:strRef>
              <c:f>Admissions!$E$4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Admissions!$A$5:$A$16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Admissions!$E$5:$E$16</c:f>
              <c:numCache>
                <c:formatCode>General</c:formatCode>
                <c:ptCount val="12"/>
                <c:pt idx="0">
                  <c:v>202</c:v>
                </c:pt>
                <c:pt idx="1">
                  <c:v>266</c:v>
                </c:pt>
                <c:pt idx="2">
                  <c:v>276</c:v>
                </c:pt>
                <c:pt idx="3">
                  <c:v>225</c:v>
                </c:pt>
                <c:pt idx="4">
                  <c:v>184</c:v>
                </c:pt>
                <c:pt idx="5">
                  <c:v>210</c:v>
                </c:pt>
                <c:pt idx="6">
                  <c:v>199</c:v>
                </c:pt>
                <c:pt idx="7">
                  <c:v>192</c:v>
                </c:pt>
                <c:pt idx="8">
                  <c:v>209</c:v>
                </c:pt>
                <c:pt idx="9">
                  <c:v>194</c:v>
                </c:pt>
                <c:pt idx="10">
                  <c:v>201</c:v>
                </c:pt>
                <c:pt idx="11">
                  <c:v>180</c:v>
                </c:pt>
              </c:numCache>
            </c:numRef>
          </c:val>
        </c:ser>
        <c:ser>
          <c:idx val="3"/>
          <c:order val="3"/>
          <c:tx>
            <c:strRef>
              <c:f>Admissions!$F$4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Admissions!$A$5:$A$16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Admissions!$F$5:$F$16</c:f>
              <c:numCache>
                <c:formatCode>General</c:formatCode>
                <c:ptCount val="12"/>
                <c:pt idx="0">
                  <c:v>181</c:v>
                </c:pt>
                <c:pt idx="1">
                  <c:v>152</c:v>
                </c:pt>
                <c:pt idx="2">
                  <c:v>190</c:v>
                </c:pt>
                <c:pt idx="3">
                  <c:v>161</c:v>
                </c:pt>
                <c:pt idx="4">
                  <c:v>166</c:v>
                </c:pt>
                <c:pt idx="5">
                  <c:v>195</c:v>
                </c:pt>
                <c:pt idx="6">
                  <c:v>168</c:v>
                </c:pt>
                <c:pt idx="7">
                  <c:v>188</c:v>
                </c:pt>
                <c:pt idx="8">
                  <c:v>144</c:v>
                </c:pt>
                <c:pt idx="9">
                  <c:v>186</c:v>
                </c:pt>
                <c:pt idx="10">
                  <c:v>170</c:v>
                </c:pt>
                <c:pt idx="11">
                  <c:v>183</c:v>
                </c:pt>
              </c:numCache>
            </c:numRef>
          </c:val>
        </c:ser>
        <c:ser>
          <c:idx val="4"/>
          <c:order val="4"/>
          <c:tx>
            <c:strRef>
              <c:f>Admissions!$G$4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Admissions!$A$5:$A$16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Admissions!$G$5:$G$16</c:f>
              <c:numCache>
                <c:formatCode>General</c:formatCode>
                <c:ptCount val="12"/>
                <c:pt idx="0">
                  <c:v>180</c:v>
                </c:pt>
                <c:pt idx="1">
                  <c:v>154</c:v>
                </c:pt>
                <c:pt idx="2">
                  <c:v>180</c:v>
                </c:pt>
                <c:pt idx="3">
                  <c:v>170</c:v>
                </c:pt>
                <c:pt idx="4">
                  <c:v>172</c:v>
                </c:pt>
                <c:pt idx="5">
                  <c:v>162</c:v>
                </c:pt>
                <c:pt idx="6">
                  <c:v>150</c:v>
                </c:pt>
                <c:pt idx="7">
                  <c:v>155</c:v>
                </c:pt>
                <c:pt idx="8">
                  <c:v>165</c:v>
                </c:pt>
                <c:pt idx="9">
                  <c:v>155</c:v>
                </c:pt>
                <c:pt idx="10">
                  <c:v>163</c:v>
                </c:pt>
                <c:pt idx="11">
                  <c:v>153</c:v>
                </c:pt>
              </c:numCache>
            </c:numRef>
          </c:val>
        </c:ser>
        <c:ser>
          <c:idx val="5"/>
          <c:order val="5"/>
          <c:tx>
            <c:strRef>
              <c:f>Admissions!$H$4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Admissions!$A$5:$A$16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Admissions!$H$5:$H$16</c:f>
              <c:numCache>
                <c:formatCode>General</c:formatCode>
                <c:ptCount val="12"/>
                <c:pt idx="0">
                  <c:v>139</c:v>
                </c:pt>
                <c:pt idx="1">
                  <c:v>161</c:v>
                </c:pt>
                <c:pt idx="2">
                  <c:v>152</c:v>
                </c:pt>
                <c:pt idx="3">
                  <c:v>150</c:v>
                </c:pt>
                <c:pt idx="4">
                  <c:v>132</c:v>
                </c:pt>
                <c:pt idx="5">
                  <c:v>140</c:v>
                </c:pt>
                <c:pt idx="6">
                  <c:v>112</c:v>
                </c:pt>
                <c:pt idx="7">
                  <c:v>117</c:v>
                </c:pt>
                <c:pt idx="8">
                  <c:v>126</c:v>
                </c:pt>
                <c:pt idx="9">
                  <c:v>108</c:v>
                </c:pt>
                <c:pt idx="10">
                  <c:v>108</c:v>
                </c:pt>
                <c:pt idx="11">
                  <c:v>141</c:v>
                </c:pt>
              </c:numCache>
            </c:numRef>
          </c:val>
        </c:ser>
        <c:shape val="box"/>
        <c:axId val="71873280"/>
        <c:axId val="71874816"/>
        <c:axId val="0"/>
      </c:bar3DChart>
      <c:catAx>
        <c:axId val="7187328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4816"/>
        <c:crosses val="autoZero"/>
        <c:auto val="1"/>
        <c:lblAlgn val="ctr"/>
        <c:lblOffset val="100"/>
        <c:tickLblSkip val="1"/>
        <c:tickMarkSkip val="1"/>
      </c:catAx>
      <c:valAx>
        <c:axId val="71874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3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339108730811656"/>
          <c:y val="0.44295372474413841"/>
          <c:w val="0.98294332611408664"/>
          <c:h val="0.701343338794060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&amp;R6
</c:oddFooter>
    </c:headerFooter>
    <c:pageMargins b="1" l="0.24000000000000005" r="0.28000000000000008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19</xdr:row>
      <xdr:rowOff>0</xdr:rowOff>
    </xdr:to>
    <xdr:graphicFrame macro="">
      <xdr:nvGraphicFramePr>
        <xdr:cNvPr id="665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9</xdr:col>
      <xdr:colOff>600075</xdr:colOff>
      <xdr:row>38</xdr:row>
      <xdr:rowOff>0</xdr:rowOff>
    </xdr:to>
    <xdr:graphicFrame macro="">
      <xdr:nvGraphicFramePr>
        <xdr:cNvPr id="665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9525</xdr:rowOff>
    </xdr:from>
    <xdr:to>
      <xdr:col>10</xdr:col>
      <xdr:colOff>0</xdr:colOff>
      <xdr:row>57</xdr:row>
      <xdr:rowOff>0</xdr:rowOff>
    </xdr:to>
    <xdr:graphicFrame macro="">
      <xdr:nvGraphicFramePr>
        <xdr:cNvPr id="6658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10</xdr:col>
      <xdr:colOff>0</xdr:colOff>
      <xdr:row>75</xdr:row>
      <xdr:rowOff>152400</xdr:rowOff>
    </xdr:to>
    <xdr:graphicFrame macro="">
      <xdr:nvGraphicFramePr>
        <xdr:cNvPr id="665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77</xdr:row>
      <xdr:rowOff>9525</xdr:rowOff>
    </xdr:from>
    <xdr:to>
      <xdr:col>10</xdr:col>
      <xdr:colOff>0</xdr:colOff>
      <xdr:row>95</xdr:row>
      <xdr:rowOff>0</xdr:rowOff>
    </xdr:to>
    <xdr:graphicFrame macro="">
      <xdr:nvGraphicFramePr>
        <xdr:cNvPr id="6658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96</xdr:row>
      <xdr:rowOff>0</xdr:rowOff>
    </xdr:from>
    <xdr:to>
      <xdr:col>9</xdr:col>
      <xdr:colOff>600075</xdr:colOff>
      <xdr:row>114</xdr:row>
      <xdr:rowOff>0</xdr:rowOff>
    </xdr:to>
    <xdr:graphicFrame macro="">
      <xdr:nvGraphicFramePr>
        <xdr:cNvPr id="6658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600075</xdr:colOff>
      <xdr:row>116</xdr:row>
      <xdr:rowOff>9525</xdr:rowOff>
    </xdr:from>
    <xdr:to>
      <xdr:col>9</xdr:col>
      <xdr:colOff>600075</xdr:colOff>
      <xdr:row>133</xdr:row>
      <xdr:rowOff>152400</xdr:rowOff>
    </xdr:to>
    <xdr:graphicFrame macro="">
      <xdr:nvGraphicFramePr>
        <xdr:cNvPr id="6659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10</xdr:col>
      <xdr:colOff>0</xdr:colOff>
      <xdr:row>152</xdr:row>
      <xdr:rowOff>133350</xdr:rowOff>
    </xdr:to>
    <xdr:graphicFrame macro="">
      <xdr:nvGraphicFramePr>
        <xdr:cNvPr id="6659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7</xdr:row>
      <xdr:rowOff>152400</xdr:rowOff>
    </xdr:from>
    <xdr:to>
      <xdr:col>16</xdr:col>
      <xdr:colOff>457200</xdr:colOff>
      <xdr:row>32</xdr:row>
      <xdr:rowOff>133350</xdr:rowOff>
    </xdr:to>
    <xdr:graphicFrame macro="">
      <xdr:nvGraphicFramePr>
        <xdr:cNvPr id="1844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97</xdr:row>
      <xdr:rowOff>142875</xdr:rowOff>
    </xdr:from>
    <xdr:to>
      <xdr:col>17</xdr:col>
      <xdr:colOff>295275</xdr:colOff>
      <xdr:row>120</xdr:row>
      <xdr:rowOff>19050</xdr:rowOff>
    </xdr:to>
    <xdr:graphicFrame macro="">
      <xdr:nvGraphicFramePr>
        <xdr:cNvPr id="184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</xdr:row>
      <xdr:rowOff>123825</xdr:rowOff>
    </xdr:from>
    <xdr:to>
      <xdr:col>18</xdr:col>
      <xdr:colOff>257175</xdr:colOff>
      <xdr:row>29</xdr:row>
      <xdr:rowOff>76200</xdr:rowOff>
    </xdr:to>
    <xdr:graphicFrame macro="">
      <xdr:nvGraphicFramePr>
        <xdr:cNvPr id="1946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</xdr:row>
      <xdr:rowOff>0</xdr:rowOff>
    </xdr:from>
    <xdr:to>
      <xdr:col>8</xdr:col>
      <xdr:colOff>180975</xdr:colOff>
      <xdr:row>2</xdr:row>
      <xdr:rowOff>0</xdr:rowOff>
    </xdr:to>
    <xdr:graphicFrame macro="">
      <xdr:nvGraphicFramePr>
        <xdr:cNvPr id="583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</xdr:row>
      <xdr:rowOff>0</xdr:rowOff>
    </xdr:from>
    <xdr:to>
      <xdr:col>8</xdr:col>
      <xdr:colOff>180975</xdr:colOff>
      <xdr:row>2</xdr:row>
      <xdr:rowOff>0</xdr:rowOff>
    </xdr:to>
    <xdr:graphicFrame macro="">
      <xdr:nvGraphicFramePr>
        <xdr:cNvPr id="5837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</xdr:colOff>
      <xdr:row>29</xdr:row>
      <xdr:rowOff>95250</xdr:rowOff>
    </xdr:from>
    <xdr:to>
      <xdr:col>11</xdr:col>
      <xdr:colOff>771525</xdr:colOff>
      <xdr:row>49</xdr:row>
      <xdr:rowOff>9525</xdr:rowOff>
    </xdr:to>
    <xdr:graphicFrame macro="">
      <xdr:nvGraphicFramePr>
        <xdr:cNvPr id="5837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0.61497</cdr:x>
      <cdr:y>0.53531</cdr:y>
    </cdr:from>
    <cdr:to>
      <cdr:x>0.68769</cdr:x>
      <cdr:y>0.60181</cdr:y>
    </cdr:to>
    <cdr:sp macro="" textlink="">
      <cdr:nvSpPr>
        <cdr:cNvPr id="67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016" y="1563408"/>
          <a:ext cx="399650" cy="193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0.61497</cdr:x>
      <cdr:y>0.53531</cdr:y>
    </cdr:from>
    <cdr:to>
      <cdr:x>0.65256</cdr:x>
      <cdr:y>0.60181</cdr:y>
    </cdr:to>
    <cdr:sp macro="" textlink="">
      <cdr:nvSpPr>
        <cdr:cNvPr id="67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016" y="1563408"/>
          <a:ext cx="206576" cy="193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5</xdr:row>
      <xdr:rowOff>142875</xdr:rowOff>
    </xdr:from>
    <xdr:to>
      <xdr:col>16</xdr:col>
      <xdr:colOff>428625</xdr:colOff>
      <xdr:row>23</xdr:row>
      <xdr:rowOff>66675</xdr:rowOff>
    </xdr:to>
    <xdr:graphicFrame macro="">
      <xdr:nvGraphicFramePr>
        <xdr:cNvPr id="103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7</xdr:row>
      <xdr:rowOff>142875</xdr:rowOff>
    </xdr:from>
    <xdr:to>
      <xdr:col>15</xdr:col>
      <xdr:colOff>257175</xdr:colOff>
      <xdr:row>23</xdr:row>
      <xdr:rowOff>123825</xdr:rowOff>
    </xdr:to>
    <xdr:graphicFrame macro="">
      <xdr:nvGraphicFramePr>
        <xdr:cNvPr id="3076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5</xdr:row>
      <xdr:rowOff>95250</xdr:rowOff>
    </xdr:from>
    <xdr:to>
      <xdr:col>16</xdr:col>
      <xdr:colOff>190500</xdr:colOff>
      <xdr:row>20</xdr:row>
      <xdr:rowOff>123825</xdr:rowOff>
    </xdr:to>
    <xdr:graphicFrame macro="">
      <xdr:nvGraphicFramePr>
        <xdr:cNvPr id="419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7</xdr:row>
      <xdr:rowOff>47625</xdr:rowOff>
    </xdr:from>
    <xdr:to>
      <xdr:col>16</xdr:col>
      <xdr:colOff>209550</xdr:colOff>
      <xdr:row>23</xdr:row>
      <xdr:rowOff>114300</xdr:rowOff>
    </xdr:to>
    <xdr:graphicFrame macro="">
      <xdr:nvGraphicFramePr>
        <xdr:cNvPr id="41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0.60891</cdr:x>
      <cdr:y>0.49638</cdr:y>
    </cdr:from>
    <cdr:to>
      <cdr:x>0.68152</cdr:x>
      <cdr:y>0.56846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2903" y="1327031"/>
          <a:ext cx="367227" cy="192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0.60891</cdr:x>
      <cdr:y>0.49638</cdr:y>
    </cdr:from>
    <cdr:to>
      <cdr:x>0.64644</cdr:x>
      <cdr:y>0.56846</cdr:y>
    </cdr:to>
    <cdr:sp macro="" textlink="">
      <cdr:nvSpPr>
        <cdr:cNvPr id="122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2903" y="1327031"/>
          <a:ext cx="189816" cy="192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8</xdr:row>
      <xdr:rowOff>95250</xdr:rowOff>
    </xdr:from>
    <xdr:to>
      <xdr:col>16</xdr:col>
      <xdr:colOff>190500</xdr:colOff>
      <xdr:row>23</xdr:row>
      <xdr:rowOff>142875</xdr:rowOff>
    </xdr:to>
    <xdr:graphicFrame macro="">
      <xdr:nvGraphicFramePr>
        <xdr:cNvPr id="512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9</xdr:row>
      <xdr:rowOff>9525</xdr:rowOff>
    </xdr:from>
    <xdr:to>
      <xdr:col>14</xdr:col>
      <xdr:colOff>19050</xdr:colOff>
      <xdr:row>28</xdr:row>
      <xdr:rowOff>85725</xdr:rowOff>
    </xdr:to>
    <xdr:graphicFrame macro="">
      <xdr:nvGraphicFramePr>
        <xdr:cNvPr id="819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86"/>
  <sheetViews>
    <sheetView tabSelected="1" topLeftCell="A73" zoomScale="85" workbookViewId="0">
      <selection sqref="A1:Q1"/>
    </sheetView>
  </sheetViews>
  <sheetFormatPr defaultRowHeight="12.75"/>
  <cols>
    <col min="1" max="1" width="12" style="46" customWidth="1"/>
    <col min="2" max="2" width="2" style="46" customWidth="1"/>
    <col min="3" max="3" width="12" style="46" customWidth="1"/>
    <col min="4" max="4" width="2" style="46" customWidth="1"/>
    <col min="5" max="5" width="12" style="46" customWidth="1"/>
    <col min="6" max="6" width="2" style="46" customWidth="1"/>
    <col min="7" max="7" width="32.5703125" style="46" customWidth="1"/>
    <col min="8" max="8" width="2" style="46" customWidth="1"/>
    <col min="9" max="9" width="12" style="46" customWidth="1"/>
    <col min="10" max="10" width="2" style="46" customWidth="1"/>
    <col min="11" max="11" width="12" style="46" customWidth="1"/>
    <col min="12" max="12" width="2" style="46" customWidth="1"/>
    <col min="13" max="13" width="12" style="46" customWidth="1"/>
    <col min="14" max="14" width="2" style="46" customWidth="1"/>
    <col min="15" max="15" width="12" style="46" customWidth="1"/>
    <col min="16" max="16" width="2" style="46" customWidth="1"/>
    <col min="17" max="17" width="10.28515625" style="46" customWidth="1"/>
    <col min="18" max="19" width="9.140625" style="46"/>
    <col min="20" max="20" width="10.7109375" style="46" bestFit="1" customWidth="1"/>
    <col min="21" max="16384" width="9.140625" style="46"/>
  </cols>
  <sheetData>
    <row r="1" spans="1:17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>
      <c r="A2" s="93" t="s">
        <v>71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s="47" customFormat="1">
      <c r="A5" s="47" t="s">
        <v>72</v>
      </c>
      <c r="C5" s="47" t="s">
        <v>66</v>
      </c>
      <c r="E5" s="47" t="s">
        <v>73</v>
      </c>
      <c r="I5" s="47" t="s">
        <v>72</v>
      </c>
      <c r="K5" s="47" t="s">
        <v>72</v>
      </c>
      <c r="M5" s="47" t="s">
        <v>74</v>
      </c>
      <c r="O5" s="47" t="s">
        <v>73</v>
      </c>
      <c r="Q5" s="47" t="s">
        <v>75</v>
      </c>
    </row>
    <row r="6" spans="1:17" s="47" customFormat="1">
      <c r="A6" s="47" t="s">
        <v>158</v>
      </c>
      <c r="C6" s="47" t="str">
        <f>+A6</f>
        <v>December</v>
      </c>
      <c r="E6" s="47" t="str">
        <f>+A6</f>
        <v>December</v>
      </c>
      <c r="I6" s="47" t="s">
        <v>157</v>
      </c>
      <c r="K6" s="47" t="str">
        <f>+A6</f>
        <v>December</v>
      </c>
      <c r="M6" s="47" t="str">
        <f>+A6</f>
        <v>December</v>
      </c>
      <c r="O6" s="47" t="str">
        <f>+A6</f>
        <v>December</v>
      </c>
      <c r="Q6" s="47" t="str">
        <f>+A6</f>
        <v>December</v>
      </c>
    </row>
    <row r="7" spans="1:17">
      <c r="A7" s="47">
        <v>2008</v>
      </c>
      <c r="B7" s="47"/>
      <c r="C7" s="47">
        <v>2008</v>
      </c>
      <c r="D7" s="47"/>
      <c r="E7" s="47">
        <v>2008</v>
      </c>
      <c r="F7" s="47"/>
      <c r="G7" s="47"/>
      <c r="H7" s="47"/>
      <c r="I7" s="47">
        <v>2008</v>
      </c>
      <c r="J7" s="47"/>
      <c r="K7" s="47">
        <v>2008</v>
      </c>
      <c r="L7" s="47"/>
      <c r="M7" s="47">
        <v>2007</v>
      </c>
      <c r="N7" s="47"/>
      <c r="O7" s="47">
        <v>2008</v>
      </c>
      <c r="P7" s="47"/>
      <c r="Q7" s="47">
        <v>2008</v>
      </c>
    </row>
    <row r="8" spans="1:17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7">
      <c r="A9" s="48">
        <v>5974819</v>
      </c>
      <c r="B9" s="48"/>
      <c r="C9" s="48">
        <v>6078539</v>
      </c>
      <c r="D9" s="48"/>
      <c r="E9" s="48">
        <f>+A9-C9</f>
        <v>-103720</v>
      </c>
      <c r="G9" s="46" t="s">
        <v>25</v>
      </c>
      <c r="I9" s="48">
        <v>5099899</v>
      </c>
      <c r="J9" s="49"/>
      <c r="K9" s="49">
        <f>+A9</f>
        <v>5974819</v>
      </c>
      <c r="L9" s="49"/>
      <c r="M9" s="49">
        <v>5685440</v>
      </c>
      <c r="N9" s="49"/>
      <c r="O9" s="49">
        <f>+K9-M9</f>
        <v>289379</v>
      </c>
      <c r="Q9" s="50">
        <f>+O9/M9</f>
        <v>5.0898259413519449E-2</v>
      </c>
    </row>
    <row r="10" spans="1:17">
      <c r="A10" s="51">
        <v>2817438</v>
      </c>
      <c r="B10" s="48"/>
      <c r="C10" s="51">
        <v>2725072</v>
      </c>
      <c r="D10" s="48"/>
      <c r="E10" s="51">
        <f>+C10-A10</f>
        <v>-92366</v>
      </c>
      <c r="G10" s="46" t="s">
        <v>76</v>
      </c>
      <c r="I10" s="51">
        <v>2492479</v>
      </c>
      <c r="J10" s="49"/>
      <c r="K10" s="52">
        <f>+A10</f>
        <v>2817438</v>
      </c>
      <c r="L10" s="49"/>
      <c r="M10" s="52">
        <v>1490400</v>
      </c>
      <c r="N10" s="49"/>
      <c r="O10" s="52">
        <f>+M10-K10</f>
        <v>-1327038</v>
      </c>
      <c r="Q10" s="53">
        <f>+O10/M10</f>
        <v>-0.89039049919484703</v>
      </c>
    </row>
    <row r="11" spans="1:17">
      <c r="A11" s="64">
        <f>+A9-A10</f>
        <v>3157381</v>
      </c>
      <c r="B11" s="48"/>
      <c r="C11" s="48">
        <f>+C9-C10</f>
        <v>3353467</v>
      </c>
      <c r="D11" s="48"/>
      <c r="E11" s="48">
        <f>+A11-C11</f>
        <v>-196086</v>
      </c>
      <c r="G11" s="46" t="s">
        <v>77</v>
      </c>
      <c r="I11" s="48">
        <f>+I9-I10</f>
        <v>2607420</v>
      </c>
      <c r="J11" s="49"/>
      <c r="K11" s="49">
        <f>+K9-K10</f>
        <v>3157381</v>
      </c>
      <c r="L11" s="49"/>
      <c r="M11" s="49">
        <f>+M9-M10</f>
        <v>4195040</v>
      </c>
      <c r="N11" s="49"/>
      <c r="O11" s="49">
        <f>+K11-M11</f>
        <v>-1037659</v>
      </c>
      <c r="Q11" s="50">
        <f>+O11/M11</f>
        <v>-0.24735377970174302</v>
      </c>
    </row>
    <row r="12" spans="1:17">
      <c r="A12" s="74"/>
      <c r="B12" s="48"/>
      <c r="C12" s="74"/>
      <c r="D12" s="48"/>
      <c r="E12" s="48"/>
      <c r="G12" s="46" t="s">
        <v>78</v>
      </c>
      <c r="I12" s="48"/>
      <c r="J12" s="49"/>
      <c r="K12" s="49"/>
      <c r="L12" s="49"/>
      <c r="M12" s="49"/>
      <c r="N12" s="49"/>
      <c r="O12" s="49"/>
      <c r="Q12" s="50"/>
    </row>
    <row r="13" spans="1:17">
      <c r="A13" s="48">
        <v>1950671</v>
      </c>
      <c r="B13" s="48"/>
      <c r="C13" s="48">
        <v>2068807</v>
      </c>
      <c r="D13" s="48"/>
      <c r="E13" s="48">
        <f t="shared" ref="E13:E19" si="0">+C13-A13</f>
        <v>118136</v>
      </c>
      <c r="G13" s="46" t="s">
        <v>67</v>
      </c>
      <c r="I13" s="48">
        <v>1935869</v>
      </c>
      <c r="J13" s="49"/>
      <c r="K13" s="49">
        <f t="shared" ref="K13:K18" si="1">+A13</f>
        <v>1950671</v>
      </c>
      <c r="L13" s="49"/>
      <c r="M13" s="49">
        <v>2429479</v>
      </c>
      <c r="N13" s="49"/>
      <c r="O13" s="49">
        <f t="shared" ref="O13:O19" si="2">+M13-K13</f>
        <v>478808</v>
      </c>
      <c r="Q13" s="50">
        <f t="shared" ref="Q13:Q19" si="3">+O13/M13</f>
        <v>0.19708258437302811</v>
      </c>
    </row>
    <row r="14" spans="1:17">
      <c r="A14" s="48">
        <v>85808</v>
      </c>
      <c r="B14" s="48"/>
      <c r="C14" s="48">
        <v>63014</v>
      </c>
      <c r="D14" s="48"/>
      <c r="E14" s="48">
        <f t="shared" si="0"/>
        <v>-22794</v>
      </c>
      <c r="G14" s="46" t="s">
        <v>79</v>
      </c>
      <c r="I14" s="48">
        <v>82104</v>
      </c>
      <c r="J14" s="49"/>
      <c r="K14" s="49">
        <f t="shared" si="1"/>
        <v>85808</v>
      </c>
      <c r="L14" s="49"/>
      <c r="M14" s="49">
        <v>61579</v>
      </c>
      <c r="N14" s="49"/>
      <c r="O14" s="49">
        <f t="shared" si="2"/>
        <v>-24229</v>
      </c>
      <c r="Q14" s="50">
        <f t="shared" si="3"/>
        <v>-0.39346205687003688</v>
      </c>
    </row>
    <row r="15" spans="1:17">
      <c r="A15" s="48">
        <v>514262</v>
      </c>
      <c r="B15" s="48"/>
      <c r="C15" s="48">
        <v>559018</v>
      </c>
      <c r="D15" s="48"/>
      <c r="E15" s="48">
        <f t="shared" si="0"/>
        <v>44756</v>
      </c>
      <c r="G15" s="46" t="s">
        <v>80</v>
      </c>
      <c r="I15" s="48">
        <v>544684</v>
      </c>
      <c r="J15" s="49"/>
      <c r="K15" s="49">
        <f t="shared" si="1"/>
        <v>514262</v>
      </c>
      <c r="L15" s="49"/>
      <c r="M15" s="49">
        <v>582452</v>
      </c>
      <c r="N15" s="49"/>
      <c r="O15" s="49">
        <f t="shared" si="2"/>
        <v>68190</v>
      </c>
      <c r="Q15" s="50">
        <f t="shared" si="3"/>
        <v>0.11707402498403302</v>
      </c>
    </row>
    <row r="16" spans="1:17">
      <c r="A16" s="48">
        <v>460167</v>
      </c>
      <c r="B16" s="48"/>
      <c r="C16" s="48">
        <v>336700</v>
      </c>
      <c r="D16" s="48"/>
      <c r="E16" s="48">
        <f t="shared" si="0"/>
        <v>-123467</v>
      </c>
      <c r="G16" s="46" t="s">
        <v>81</v>
      </c>
      <c r="I16" s="48">
        <v>334065</v>
      </c>
      <c r="J16" s="49"/>
      <c r="K16" s="49">
        <f t="shared" si="1"/>
        <v>460167</v>
      </c>
      <c r="L16" s="49"/>
      <c r="M16" s="49">
        <v>478658</v>
      </c>
      <c r="N16" s="49"/>
      <c r="O16" s="49">
        <f t="shared" si="2"/>
        <v>18491</v>
      </c>
      <c r="Q16" s="50">
        <f t="shared" si="3"/>
        <v>3.8630922286893771E-2</v>
      </c>
    </row>
    <row r="17" spans="1:17">
      <c r="A17" s="48">
        <v>358561</v>
      </c>
      <c r="B17" s="48"/>
      <c r="C17" s="48">
        <v>265670</v>
      </c>
      <c r="D17" s="48"/>
      <c r="E17" s="48">
        <f t="shared" si="0"/>
        <v>-92891</v>
      </c>
      <c r="G17" s="46" t="s">
        <v>82</v>
      </c>
      <c r="I17" s="48">
        <v>345667</v>
      </c>
      <c r="J17" s="49"/>
      <c r="K17" s="49">
        <f t="shared" si="1"/>
        <v>358561</v>
      </c>
      <c r="L17" s="49"/>
      <c r="M17" s="49">
        <v>220897</v>
      </c>
      <c r="N17" s="49"/>
      <c r="O17" s="49">
        <f t="shared" si="2"/>
        <v>-137664</v>
      </c>
      <c r="Q17" s="50">
        <f t="shared" si="3"/>
        <v>-0.62320447991597894</v>
      </c>
    </row>
    <row r="18" spans="1:17">
      <c r="A18" s="51">
        <v>151046</v>
      </c>
      <c r="B18" s="48"/>
      <c r="C18" s="51">
        <v>155487</v>
      </c>
      <c r="D18" s="48"/>
      <c r="E18" s="51">
        <f t="shared" si="0"/>
        <v>4441</v>
      </c>
      <c r="G18" s="46" t="s">
        <v>83</v>
      </c>
      <c r="I18" s="51">
        <v>127992</v>
      </c>
      <c r="J18" s="49"/>
      <c r="K18" s="52">
        <f t="shared" si="1"/>
        <v>151046</v>
      </c>
      <c r="L18" s="49"/>
      <c r="M18" s="52">
        <v>181232</v>
      </c>
      <c r="N18" s="49"/>
      <c r="O18" s="52">
        <f t="shared" si="2"/>
        <v>30186</v>
      </c>
      <c r="Q18" s="53">
        <f t="shared" si="3"/>
        <v>0.16655998940584443</v>
      </c>
    </row>
    <row r="19" spans="1:17">
      <c r="A19" s="64">
        <f>SUM(A13:A18)</f>
        <v>3520515</v>
      </c>
      <c r="B19" s="48"/>
      <c r="C19" s="48">
        <f>SUM(C13:C18)</f>
        <v>3448696</v>
      </c>
      <c r="D19" s="48"/>
      <c r="E19" s="48">
        <f t="shared" si="0"/>
        <v>-71819</v>
      </c>
      <c r="G19" s="46" t="s">
        <v>84</v>
      </c>
      <c r="I19" s="48">
        <f>SUM(I13:I18)</f>
        <v>3370381</v>
      </c>
      <c r="J19" s="49"/>
      <c r="K19" s="49">
        <f>SUM(K13:K18)</f>
        <v>3520515</v>
      </c>
      <c r="L19" s="49"/>
      <c r="M19" s="49">
        <f>SUM(M13:M18)</f>
        <v>3954297</v>
      </c>
      <c r="N19" s="49"/>
      <c r="O19" s="49">
        <f t="shared" si="2"/>
        <v>433782</v>
      </c>
      <c r="Q19" s="50">
        <f t="shared" si="3"/>
        <v>0.10969889211660126</v>
      </c>
    </row>
    <row r="20" spans="1:17">
      <c r="A20" s="64"/>
      <c r="B20" s="48"/>
      <c r="C20" s="48"/>
      <c r="D20" s="48"/>
      <c r="E20" s="48"/>
      <c r="G20" s="46" t="s">
        <v>85</v>
      </c>
      <c r="I20" s="48"/>
      <c r="J20" s="49"/>
      <c r="K20" s="49"/>
      <c r="L20" s="49"/>
      <c r="M20" s="49"/>
      <c r="N20" s="49"/>
      <c r="O20" s="49"/>
      <c r="Q20" s="50"/>
    </row>
    <row r="21" spans="1:17">
      <c r="A21" s="48">
        <v>150486</v>
      </c>
      <c r="B21" s="48"/>
      <c r="C21" s="48">
        <v>212482</v>
      </c>
      <c r="D21" s="48"/>
      <c r="E21" s="48">
        <f>+C21-A21</f>
        <v>61996</v>
      </c>
      <c r="G21" s="46" t="s">
        <v>86</v>
      </c>
      <c r="I21" s="48">
        <v>187168</v>
      </c>
      <c r="J21" s="49"/>
      <c r="K21" s="49">
        <f>+A21</f>
        <v>150486</v>
      </c>
      <c r="L21" s="49"/>
      <c r="M21" s="49">
        <v>240287</v>
      </c>
      <c r="N21" s="49"/>
      <c r="O21" s="49">
        <f>+M21-K21</f>
        <v>89801</v>
      </c>
      <c r="Q21" s="50">
        <f>+O21/M21</f>
        <v>0.37372392181016867</v>
      </c>
    </row>
    <row r="22" spans="1:17">
      <c r="A22" s="51">
        <v>42302</v>
      </c>
      <c r="B22" s="48"/>
      <c r="C22" s="51">
        <v>38783</v>
      </c>
      <c r="D22" s="48"/>
      <c r="E22" s="51">
        <f>+C22-A22</f>
        <v>-3519</v>
      </c>
      <c r="G22" s="46" t="s">
        <v>87</v>
      </c>
      <c r="I22" s="51">
        <v>61282</v>
      </c>
      <c r="J22" s="49"/>
      <c r="K22" s="52">
        <f>+A22</f>
        <v>42302</v>
      </c>
      <c r="L22" s="49"/>
      <c r="M22" s="52">
        <v>78210</v>
      </c>
      <c r="N22" s="49"/>
      <c r="O22" s="52">
        <f>+M22-K22</f>
        <v>35908</v>
      </c>
      <c r="Q22" s="53">
        <f>+O22/M22</f>
        <v>0.45912287431274773</v>
      </c>
    </row>
    <row r="23" spans="1:17">
      <c r="A23" s="68">
        <f>+A21+A22</f>
        <v>192788</v>
      </c>
      <c r="B23" s="48"/>
      <c r="C23" s="54">
        <f>+C21+C22</f>
        <v>251265</v>
      </c>
      <c r="D23" s="48"/>
      <c r="E23" s="54">
        <f>+C23-A23</f>
        <v>58477</v>
      </c>
      <c r="G23" s="55" t="s">
        <v>88</v>
      </c>
      <c r="I23" s="54">
        <f>+I21+I22</f>
        <v>248450</v>
      </c>
      <c r="J23" s="49"/>
      <c r="K23" s="56">
        <f>+K21+K22</f>
        <v>192788</v>
      </c>
      <c r="L23" s="49"/>
      <c r="M23" s="56">
        <f>+M21+M22</f>
        <v>318497</v>
      </c>
      <c r="N23" s="49"/>
      <c r="O23" s="56">
        <f>+O21+O22</f>
        <v>125709</v>
      </c>
      <c r="Q23" s="57">
        <f>+O23/M23</f>
        <v>0.39469445552077415</v>
      </c>
    </row>
    <row r="24" spans="1:17">
      <c r="A24" s="68">
        <f>+A11-A19-A23</f>
        <v>-555922</v>
      </c>
      <c r="B24" s="48"/>
      <c r="C24" s="54">
        <f>+C11-C19-C23</f>
        <v>-346494</v>
      </c>
      <c r="D24" s="48"/>
      <c r="E24" s="54">
        <f>+A24-C24</f>
        <v>-209428</v>
      </c>
      <c r="G24" s="55" t="s">
        <v>89</v>
      </c>
      <c r="I24" s="54">
        <f>+I11-I19-I23</f>
        <v>-1011411</v>
      </c>
      <c r="J24" s="49"/>
      <c r="K24" s="56">
        <f>+K11-K19-K23</f>
        <v>-555922</v>
      </c>
      <c r="L24" s="49"/>
      <c r="M24" s="56">
        <f>+M11-M19-M23</f>
        <v>-77754</v>
      </c>
      <c r="N24" s="49"/>
      <c r="O24" s="56">
        <f>+K24-M24</f>
        <v>-478168</v>
      </c>
      <c r="Q24" s="57">
        <f>+O24/M24</f>
        <v>6.1497543534737762</v>
      </c>
    </row>
    <row r="25" spans="1:17">
      <c r="A25" s="64"/>
      <c r="B25" s="48"/>
      <c r="C25" s="54"/>
      <c r="D25" s="48"/>
      <c r="E25" s="54"/>
      <c r="G25" s="55"/>
      <c r="I25" s="54"/>
      <c r="J25" s="49"/>
      <c r="K25" s="56"/>
      <c r="L25" s="49"/>
      <c r="M25" s="56"/>
      <c r="N25" s="49"/>
      <c r="O25" s="56"/>
      <c r="Q25" s="57"/>
    </row>
    <row r="26" spans="1:17">
      <c r="A26" s="54">
        <v>12872</v>
      </c>
      <c r="B26" s="48"/>
      <c r="C26" s="54">
        <v>13479</v>
      </c>
      <c r="D26" s="48"/>
      <c r="E26" s="54">
        <f>+A26-C26</f>
        <v>-607</v>
      </c>
      <c r="G26" s="55" t="s">
        <v>138</v>
      </c>
      <c r="I26" s="54">
        <v>21064</v>
      </c>
      <c r="J26" s="49"/>
      <c r="K26" s="56">
        <f>+A26</f>
        <v>12872</v>
      </c>
      <c r="L26" s="49"/>
      <c r="M26" s="56">
        <v>-41628</v>
      </c>
      <c r="N26" s="49"/>
      <c r="O26" s="56">
        <f>+K26-M26</f>
        <v>54500</v>
      </c>
      <c r="Q26" s="57">
        <f>+O26/M26</f>
        <v>-1.3092149514749687</v>
      </c>
    </row>
    <row r="27" spans="1:17" ht="13.5" thickBot="1">
      <c r="A27" s="69">
        <f>+A24+A26</f>
        <v>-543050</v>
      </c>
      <c r="B27" s="48"/>
      <c r="C27" s="58">
        <f>+C24+C26</f>
        <v>-333015</v>
      </c>
      <c r="D27" s="48"/>
      <c r="E27" s="58">
        <f>+A27-C27</f>
        <v>-210035</v>
      </c>
      <c r="G27" s="46" t="s">
        <v>90</v>
      </c>
      <c r="I27" s="58">
        <f>+I24+I26</f>
        <v>-990347</v>
      </c>
      <c r="J27" s="49"/>
      <c r="K27" s="59">
        <f>+K24+K26</f>
        <v>-543050</v>
      </c>
      <c r="L27" s="49"/>
      <c r="M27" s="59">
        <f>+M24+M26</f>
        <v>-119382</v>
      </c>
      <c r="N27" s="49"/>
      <c r="O27" s="59">
        <f>+K27-M27</f>
        <v>-423668</v>
      </c>
      <c r="Q27" s="60">
        <f>+O27/M27</f>
        <v>3.5488432091940156</v>
      </c>
    </row>
    <row r="28" spans="1:17" ht="13.5" thickTop="1">
      <c r="A28" s="61"/>
      <c r="B28" s="48"/>
      <c r="C28" s="61"/>
      <c r="D28" s="48"/>
      <c r="E28" s="61"/>
      <c r="I28" s="61"/>
      <c r="J28" s="49"/>
      <c r="K28" s="62"/>
      <c r="L28" s="49"/>
      <c r="M28" s="62"/>
      <c r="N28" s="49"/>
      <c r="O28" s="62"/>
      <c r="Q28" s="63"/>
    </row>
    <row r="29" spans="1:17" ht="13.5" thickBot="1">
      <c r="A29" s="69">
        <f>+A27+A21</f>
        <v>-392564</v>
      </c>
      <c r="B29" s="48"/>
      <c r="C29" s="69">
        <f>+C27+C21</f>
        <v>-120533</v>
      </c>
      <c r="D29" s="48"/>
      <c r="E29" s="82">
        <f>+A29-C29</f>
        <v>-272031</v>
      </c>
      <c r="G29" s="46" t="s">
        <v>171</v>
      </c>
      <c r="I29" s="69">
        <f>+I27+I21</f>
        <v>-803179</v>
      </c>
      <c r="J29" s="49"/>
      <c r="K29" s="69">
        <f>+K27+K21</f>
        <v>-392564</v>
      </c>
      <c r="L29" s="49"/>
      <c r="M29" s="69">
        <f>+M27+M21</f>
        <v>120905</v>
      </c>
      <c r="N29" s="49"/>
      <c r="O29" s="83">
        <f>+K29-M29</f>
        <v>-513469</v>
      </c>
      <c r="Q29" s="70">
        <f>+O29/M29</f>
        <v>-4.2468797816467472</v>
      </c>
    </row>
    <row r="30" spans="1:17" ht="13.5" thickTop="1">
      <c r="A30" s="61"/>
      <c r="B30" s="48"/>
      <c r="C30" s="61"/>
      <c r="D30" s="48"/>
      <c r="E30" s="61"/>
      <c r="I30" s="61"/>
      <c r="J30" s="49"/>
      <c r="K30" s="62"/>
      <c r="L30" s="49"/>
      <c r="M30" s="62"/>
      <c r="N30" s="49"/>
      <c r="O30" s="62"/>
      <c r="Q30" s="63"/>
    </row>
    <row r="31" spans="1:17">
      <c r="G31" s="46" t="s">
        <v>91</v>
      </c>
    </row>
    <row r="32" spans="1:17">
      <c r="A32" s="64">
        <v>141</v>
      </c>
      <c r="B32" s="64"/>
      <c r="C32" s="76">
        <v>163</v>
      </c>
      <c r="D32" s="64"/>
      <c r="E32" s="64">
        <f t="shared" ref="E32:E39" si="4">+A32-C32</f>
        <v>-22</v>
      </c>
      <c r="G32" s="46" t="s">
        <v>92</v>
      </c>
      <c r="I32" s="64">
        <v>108</v>
      </c>
      <c r="J32" s="64"/>
      <c r="K32" s="64">
        <f t="shared" ref="K32:K39" si="5">A32</f>
        <v>141</v>
      </c>
      <c r="L32" s="64"/>
      <c r="M32" s="76">
        <v>153</v>
      </c>
      <c r="N32" s="64"/>
      <c r="O32" s="64">
        <f t="shared" ref="O32:O37" si="6">+K32-M32</f>
        <v>-12</v>
      </c>
      <c r="Q32" s="50">
        <f t="shared" ref="Q32:Q39" si="7">+O32/M32</f>
        <v>-7.8431372549019607E-2</v>
      </c>
    </row>
    <row r="33" spans="1:17">
      <c r="A33" s="64">
        <v>466</v>
      </c>
      <c r="B33" s="64"/>
      <c r="C33" s="76">
        <v>643</v>
      </c>
      <c r="D33" s="64"/>
      <c r="E33" s="64">
        <f t="shared" si="4"/>
        <v>-177</v>
      </c>
      <c r="G33" s="46" t="s">
        <v>161</v>
      </c>
      <c r="I33" s="64">
        <v>414</v>
      </c>
      <c r="J33" s="64"/>
      <c r="K33" s="64">
        <f t="shared" si="5"/>
        <v>466</v>
      </c>
      <c r="L33" s="64"/>
      <c r="M33" s="76">
        <v>680</v>
      </c>
      <c r="N33" s="64"/>
      <c r="O33" s="64">
        <f t="shared" si="6"/>
        <v>-214</v>
      </c>
      <c r="Q33" s="50">
        <f t="shared" si="7"/>
        <v>-0.31470588235294117</v>
      </c>
    </row>
    <row r="34" spans="1:17">
      <c r="A34" s="76">
        <v>15.03</v>
      </c>
      <c r="B34" s="76"/>
      <c r="C34" s="79">
        <f>+(397+70+117)/30+6</f>
        <v>25.466666666666665</v>
      </c>
      <c r="D34" s="76"/>
      <c r="E34" s="76">
        <f t="shared" si="4"/>
        <v>-10.436666666666666</v>
      </c>
      <c r="F34" s="77"/>
      <c r="G34" s="77" t="s">
        <v>170</v>
      </c>
      <c r="I34" s="64">
        <v>13.8</v>
      </c>
      <c r="J34" s="64"/>
      <c r="K34" s="64">
        <f t="shared" si="5"/>
        <v>15.03</v>
      </c>
      <c r="L34" s="64"/>
      <c r="M34" s="76">
        <v>21.93</v>
      </c>
      <c r="N34" s="64"/>
      <c r="O34" s="64">
        <f t="shared" si="6"/>
        <v>-6.9</v>
      </c>
      <c r="Q34" s="50">
        <f t="shared" si="7"/>
        <v>-0.31463748290013682</v>
      </c>
    </row>
    <row r="35" spans="1:17">
      <c r="A35" s="76">
        <v>0</v>
      </c>
      <c r="B35" s="76"/>
      <c r="C35" s="79">
        <v>0</v>
      </c>
      <c r="D35" s="76"/>
      <c r="E35" s="76">
        <f t="shared" si="4"/>
        <v>0</v>
      </c>
      <c r="F35" s="77"/>
      <c r="G35" s="77" t="s">
        <v>145</v>
      </c>
      <c r="I35" s="64">
        <v>0</v>
      </c>
      <c r="J35" s="64"/>
      <c r="K35" s="64">
        <f t="shared" si="5"/>
        <v>0</v>
      </c>
      <c r="L35" s="64"/>
      <c r="M35" s="76">
        <v>5.83</v>
      </c>
      <c r="N35" s="64"/>
      <c r="O35" s="64">
        <f t="shared" si="6"/>
        <v>-5.83</v>
      </c>
      <c r="Q35" s="50">
        <f t="shared" si="7"/>
        <v>-1</v>
      </c>
    </row>
    <row r="36" spans="1:17">
      <c r="A36" s="76">
        <v>203</v>
      </c>
      <c r="B36" s="76"/>
      <c r="C36" s="76">
        <v>220</v>
      </c>
      <c r="D36" s="76"/>
      <c r="E36" s="76">
        <f t="shared" si="4"/>
        <v>-17</v>
      </c>
      <c r="F36" s="77"/>
      <c r="G36" s="77" t="s">
        <v>94</v>
      </c>
      <c r="I36" s="64">
        <v>150</v>
      </c>
      <c r="J36" s="64"/>
      <c r="K36" s="64">
        <f t="shared" si="5"/>
        <v>203</v>
      </c>
      <c r="L36" s="64"/>
      <c r="M36" s="76">
        <v>186</v>
      </c>
      <c r="N36" s="64"/>
      <c r="O36" s="64">
        <f t="shared" si="6"/>
        <v>17</v>
      </c>
      <c r="Q36" s="50">
        <f t="shared" si="7"/>
        <v>9.1397849462365593E-2</v>
      </c>
    </row>
    <row r="37" spans="1:17">
      <c r="A37" s="76">
        <v>25</v>
      </c>
      <c r="B37" s="76"/>
      <c r="C37" s="76">
        <v>45</v>
      </c>
      <c r="D37" s="76"/>
      <c r="E37" s="76">
        <f t="shared" si="4"/>
        <v>-20</v>
      </c>
      <c r="F37" s="77"/>
      <c r="G37" s="77" t="s">
        <v>95</v>
      </c>
      <c r="I37" s="64">
        <v>14</v>
      </c>
      <c r="J37" s="64"/>
      <c r="K37" s="64">
        <f t="shared" si="5"/>
        <v>25</v>
      </c>
      <c r="L37" s="64"/>
      <c r="M37" s="76">
        <v>60</v>
      </c>
      <c r="N37" s="64"/>
      <c r="O37" s="64">
        <f t="shared" si="6"/>
        <v>-35</v>
      </c>
      <c r="Q37" s="50">
        <f t="shared" si="7"/>
        <v>-0.58333333333333337</v>
      </c>
    </row>
    <row r="38" spans="1:17">
      <c r="A38" s="76">
        <v>336.29</v>
      </c>
      <c r="B38" s="64"/>
      <c r="C38" s="79"/>
      <c r="D38" s="64"/>
      <c r="E38" s="64">
        <f t="shared" si="4"/>
        <v>336.29</v>
      </c>
      <c r="G38" s="46" t="s">
        <v>164</v>
      </c>
      <c r="I38" s="64">
        <v>369.07</v>
      </c>
      <c r="J38" s="64"/>
      <c r="K38" s="64">
        <f t="shared" si="5"/>
        <v>336.29</v>
      </c>
      <c r="L38" s="64"/>
      <c r="M38" s="76">
        <v>397.24</v>
      </c>
      <c r="N38" s="64"/>
      <c r="O38" s="64">
        <f>+M38-K38</f>
        <v>60.949999999999989</v>
      </c>
      <c r="Q38" s="50">
        <f t="shared" si="7"/>
        <v>0.15343369247809885</v>
      </c>
    </row>
    <row r="39" spans="1:17">
      <c r="A39" s="76">
        <v>379.95</v>
      </c>
      <c r="B39" s="64"/>
      <c r="C39" s="78"/>
      <c r="D39" s="64"/>
      <c r="E39" s="64">
        <f t="shared" si="4"/>
        <v>379.95</v>
      </c>
      <c r="G39" s="46" t="s">
        <v>163</v>
      </c>
      <c r="I39" s="64">
        <v>393.81</v>
      </c>
      <c r="J39" s="64"/>
      <c r="K39" s="64">
        <f t="shared" si="5"/>
        <v>379.95</v>
      </c>
      <c r="L39" s="64"/>
      <c r="M39" s="76">
        <v>419.12</v>
      </c>
      <c r="N39" s="64"/>
      <c r="O39" s="64">
        <f>+M39-K39</f>
        <v>39.170000000000016</v>
      </c>
      <c r="Q39" s="50">
        <f t="shared" si="7"/>
        <v>9.3457720939110547E-2</v>
      </c>
    </row>
    <row r="40" spans="1:17">
      <c r="A40" s="76"/>
      <c r="B40" s="64"/>
      <c r="C40" s="78"/>
      <c r="D40" s="64"/>
      <c r="E40" s="64"/>
      <c r="I40" s="64"/>
      <c r="J40" s="64"/>
      <c r="K40" s="64"/>
      <c r="L40" s="64"/>
      <c r="M40" s="76"/>
      <c r="N40" s="64"/>
      <c r="O40" s="64"/>
      <c r="Q40" s="50"/>
    </row>
    <row r="41" spans="1:17" ht="1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</row>
    <row r="42" spans="1:17">
      <c r="A42" s="65"/>
      <c r="B42" s="65"/>
      <c r="C42" s="65"/>
      <c r="D42" s="65"/>
      <c r="E42" s="64"/>
      <c r="I42" s="65"/>
      <c r="J42" s="65"/>
      <c r="K42" s="65"/>
      <c r="L42" s="65"/>
      <c r="M42" s="65"/>
      <c r="N42" s="65"/>
      <c r="O42" s="65"/>
      <c r="Q42" s="50"/>
    </row>
    <row r="43" spans="1:17">
      <c r="A43" s="66"/>
      <c r="I43" s="66"/>
      <c r="K43" s="66"/>
      <c r="L43" s="66"/>
      <c r="M43" s="66"/>
      <c r="N43" s="66"/>
      <c r="O43" s="66"/>
      <c r="Q43" s="50"/>
    </row>
    <row r="44" spans="1:17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</row>
    <row r="45" spans="1:17">
      <c r="A45" s="93" t="s">
        <v>139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</row>
    <row r="46" spans="1:17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</row>
    <row r="47" spans="1:17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</row>
    <row r="48" spans="1:17">
      <c r="A48" s="47" t="s">
        <v>96</v>
      </c>
      <c r="B48" s="47"/>
      <c r="C48" s="47" t="s">
        <v>97</v>
      </c>
      <c r="D48" s="47"/>
      <c r="E48" s="47" t="s">
        <v>73</v>
      </c>
      <c r="F48" s="47"/>
      <c r="G48" s="47"/>
      <c r="H48" s="47"/>
      <c r="I48" s="47"/>
      <c r="J48" s="47"/>
      <c r="K48" s="47" t="s">
        <v>96</v>
      </c>
      <c r="L48" s="47"/>
      <c r="M48" s="47" t="s">
        <v>98</v>
      </c>
      <c r="N48" s="47"/>
      <c r="O48" s="47" t="s">
        <v>73</v>
      </c>
      <c r="P48" s="47"/>
      <c r="Q48" s="47" t="s">
        <v>75</v>
      </c>
    </row>
    <row r="49" spans="1:20">
      <c r="A49" s="47" t="str">
        <f>+A6</f>
        <v>December</v>
      </c>
      <c r="B49" s="47"/>
      <c r="C49" s="47" t="str">
        <f>+A6</f>
        <v>December</v>
      </c>
      <c r="D49" s="47"/>
      <c r="E49" s="47" t="str">
        <f>+A6</f>
        <v>December</v>
      </c>
      <c r="F49" s="47"/>
      <c r="G49" s="47"/>
      <c r="H49" s="47"/>
      <c r="I49" s="47"/>
      <c r="J49" s="47"/>
      <c r="K49" s="47" t="str">
        <f>+A6</f>
        <v>December</v>
      </c>
      <c r="L49" s="47"/>
      <c r="M49" s="47" t="str">
        <f>+A6</f>
        <v>December</v>
      </c>
      <c r="N49" s="47"/>
      <c r="O49" s="47" t="str">
        <f>+A6</f>
        <v>December</v>
      </c>
      <c r="P49" s="47"/>
      <c r="Q49" s="47" t="str">
        <f>+A6</f>
        <v>December</v>
      </c>
    </row>
    <row r="50" spans="1:20" ht="12.75" customHeight="1">
      <c r="A50" s="47">
        <v>2008</v>
      </c>
      <c r="B50" s="47"/>
      <c r="C50" s="47">
        <v>2008</v>
      </c>
      <c r="D50" s="47"/>
      <c r="E50" s="47">
        <v>2008</v>
      </c>
      <c r="F50" s="47"/>
      <c r="G50" s="47"/>
      <c r="H50" s="47"/>
      <c r="I50" s="47"/>
      <c r="J50" s="47"/>
      <c r="K50" s="47">
        <v>2008</v>
      </c>
      <c r="L50" s="47"/>
      <c r="M50" s="47">
        <v>2007</v>
      </c>
      <c r="N50" s="47"/>
      <c r="O50" s="47">
        <v>2008</v>
      </c>
      <c r="P50" s="47"/>
      <c r="Q50" s="47">
        <v>2008</v>
      </c>
    </row>
    <row r="51" spans="1:20" ht="12.75" customHeight="1">
      <c r="A51" s="47"/>
      <c r="B51" s="47"/>
      <c r="C51" s="75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1:20" s="47" customFormat="1">
      <c r="A52" s="48">
        <v>71408037</v>
      </c>
      <c r="B52" s="48"/>
      <c r="C52" s="48">
        <v>78022960</v>
      </c>
      <c r="D52" s="64"/>
      <c r="E52" s="64">
        <f>+A52-C52</f>
        <v>-6614923</v>
      </c>
      <c r="F52" s="46"/>
      <c r="G52" s="46" t="s">
        <v>25</v>
      </c>
      <c r="H52" s="46"/>
      <c r="I52" s="46"/>
      <c r="J52" s="46"/>
      <c r="K52" s="64">
        <f>A52</f>
        <v>71408037</v>
      </c>
      <c r="L52" s="64"/>
      <c r="M52" s="49">
        <v>72738633</v>
      </c>
      <c r="N52" s="64"/>
      <c r="O52" s="64">
        <f>+K52-M52</f>
        <v>-1330596</v>
      </c>
      <c r="P52" s="46"/>
      <c r="Q52" s="50">
        <f>+O52/M52</f>
        <v>-1.8292837590170273E-2</v>
      </c>
      <c r="R52" s="46"/>
    </row>
    <row r="53" spans="1:20" s="47" customFormat="1">
      <c r="A53" s="51">
        <v>31952133</v>
      </c>
      <c r="B53" s="48"/>
      <c r="C53" s="51">
        <v>35318612</v>
      </c>
      <c r="D53" s="64"/>
      <c r="E53" s="67">
        <f>+C53-A53</f>
        <v>3366479</v>
      </c>
      <c r="F53" s="46"/>
      <c r="G53" s="46" t="s">
        <v>76</v>
      </c>
      <c r="H53" s="46"/>
      <c r="I53" s="46"/>
      <c r="J53" s="46"/>
      <c r="K53" s="67">
        <f>+A53</f>
        <v>31952133</v>
      </c>
      <c r="L53" s="64"/>
      <c r="M53" s="52">
        <v>31194973</v>
      </c>
      <c r="N53" s="64"/>
      <c r="O53" s="67">
        <f>+M53-K53</f>
        <v>-757160</v>
      </c>
      <c r="P53" s="46"/>
      <c r="Q53" s="53">
        <f>+O53/M53</f>
        <v>-2.427185944350713E-2</v>
      </c>
      <c r="R53" s="46"/>
    </row>
    <row r="54" spans="1:20">
      <c r="A54" s="64">
        <f>+A52-A53</f>
        <v>39455904</v>
      </c>
      <c r="B54" s="64"/>
      <c r="C54" s="64">
        <f>+C52-C53</f>
        <v>42704348</v>
      </c>
      <c r="D54" s="64"/>
      <c r="E54" s="64">
        <f>+A54-C54</f>
        <v>-3248444</v>
      </c>
      <c r="G54" s="46" t="s">
        <v>77</v>
      </c>
      <c r="K54" s="64">
        <f>+K52-K53</f>
        <v>39455904</v>
      </c>
      <c r="L54" s="64"/>
      <c r="M54" s="64">
        <f>+M52-M53</f>
        <v>41543660</v>
      </c>
      <c r="N54" s="64"/>
      <c r="O54" s="64">
        <f>+K54-M54</f>
        <v>-2087756</v>
      </c>
      <c r="Q54" s="50">
        <f>+O54/M54</f>
        <v>-5.0254503334564167E-2</v>
      </c>
      <c r="T54" s="64"/>
    </row>
    <row r="55" spans="1:20">
      <c r="A55" s="74"/>
      <c r="B55" s="64"/>
      <c r="C55" s="74"/>
      <c r="D55" s="64"/>
      <c r="E55" s="64"/>
      <c r="G55" s="46" t="s">
        <v>78</v>
      </c>
      <c r="K55" s="64"/>
      <c r="L55" s="64"/>
      <c r="M55" s="64"/>
      <c r="N55" s="64"/>
      <c r="O55" s="64"/>
    </row>
    <row r="56" spans="1:20">
      <c r="A56" s="48">
        <v>23445065</v>
      </c>
      <c r="B56" s="48"/>
      <c r="C56" s="48">
        <v>24403866</v>
      </c>
      <c r="D56" s="64"/>
      <c r="E56" s="64">
        <f t="shared" ref="E56:E62" si="8">+C56-A56</f>
        <v>958801</v>
      </c>
      <c r="G56" s="46" t="s">
        <v>67</v>
      </c>
      <c r="K56" s="64">
        <f t="shared" ref="K56:K61" si="9">+A56</f>
        <v>23445065</v>
      </c>
      <c r="L56" s="64"/>
      <c r="M56" s="49">
        <v>23581706</v>
      </c>
      <c r="N56" s="64"/>
      <c r="O56" s="64">
        <f t="shared" ref="O56:O61" si="10">+M56-K56</f>
        <v>136641</v>
      </c>
      <c r="Q56" s="50">
        <f t="shared" ref="Q56:Q62" si="11">+O56/M56</f>
        <v>5.7943644959359596E-3</v>
      </c>
      <c r="T56" s="64"/>
    </row>
    <row r="57" spans="1:20">
      <c r="A57" s="48">
        <v>815971</v>
      </c>
      <c r="B57" s="48"/>
      <c r="C57" s="48">
        <v>756034</v>
      </c>
      <c r="D57" s="64"/>
      <c r="E57" s="64">
        <f t="shared" si="8"/>
        <v>-59937</v>
      </c>
      <c r="G57" s="46" t="s">
        <v>79</v>
      </c>
      <c r="K57" s="64">
        <f t="shared" si="9"/>
        <v>815971</v>
      </c>
      <c r="L57" s="64"/>
      <c r="M57" s="49">
        <v>688048</v>
      </c>
      <c r="N57" s="64"/>
      <c r="O57" s="64">
        <f t="shared" si="10"/>
        <v>-127923</v>
      </c>
      <c r="Q57" s="50">
        <f t="shared" si="11"/>
        <v>-0.18592162174731997</v>
      </c>
    </row>
    <row r="58" spans="1:20">
      <c r="A58" s="48">
        <v>6531155</v>
      </c>
      <c r="B58" s="48"/>
      <c r="C58" s="48">
        <v>7044886</v>
      </c>
      <c r="D58" s="64"/>
      <c r="E58" s="64">
        <f t="shared" si="8"/>
        <v>513731</v>
      </c>
      <c r="G58" s="46" t="s">
        <v>80</v>
      </c>
      <c r="K58" s="64">
        <f t="shared" si="9"/>
        <v>6531155</v>
      </c>
      <c r="L58" s="64"/>
      <c r="M58" s="49">
        <v>6605459</v>
      </c>
      <c r="N58" s="64"/>
      <c r="O58" s="64">
        <f t="shared" si="10"/>
        <v>74304</v>
      </c>
      <c r="Q58" s="50">
        <f t="shared" si="11"/>
        <v>1.1248877632879108E-2</v>
      </c>
    </row>
    <row r="59" spans="1:20">
      <c r="A59" s="48">
        <v>4641418</v>
      </c>
      <c r="B59" s="48"/>
      <c r="C59" s="48">
        <v>4082902</v>
      </c>
      <c r="D59" s="64"/>
      <c r="E59" s="64">
        <f t="shared" si="8"/>
        <v>-558516</v>
      </c>
      <c r="G59" s="46" t="s">
        <v>81</v>
      </c>
      <c r="K59" s="64">
        <f t="shared" si="9"/>
        <v>4641418</v>
      </c>
      <c r="L59" s="64"/>
      <c r="M59" s="49">
        <v>4922843</v>
      </c>
      <c r="N59" s="64"/>
      <c r="O59" s="64">
        <f t="shared" si="10"/>
        <v>281425</v>
      </c>
      <c r="Q59" s="50">
        <f t="shared" si="11"/>
        <v>5.7167169458786318E-2</v>
      </c>
    </row>
    <row r="60" spans="1:20">
      <c r="A60" s="48">
        <v>4339943</v>
      </c>
      <c r="B60" s="48"/>
      <c r="C60" s="48">
        <v>3415935</v>
      </c>
      <c r="D60" s="64"/>
      <c r="E60" s="64">
        <f t="shared" si="8"/>
        <v>-924008</v>
      </c>
      <c r="G60" s="46" t="s">
        <v>82</v>
      </c>
      <c r="K60" s="64">
        <f t="shared" si="9"/>
        <v>4339943</v>
      </c>
      <c r="L60" s="64"/>
      <c r="M60" s="49">
        <v>3159521</v>
      </c>
      <c r="N60" s="64"/>
      <c r="O60" s="64">
        <f t="shared" si="10"/>
        <v>-1180422</v>
      </c>
      <c r="Q60" s="50">
        <f t="shared" si="11"/>
        <v>-0.37360789815924628</v>
      </c>
    </row>
    <row r="61" spans="1:20">
      <c r="A61" s="51">
        <v>1750748</v>
      </c>
      <c r="B61" s="48"/>
      <c r="C61" s="51">
        <v>1869801</v>
      </c>
      <c r="D61" s="64"/>
      <c r="E61" s="67">
        <f t="shared" si="8"/>
        <v>119053</v>
      </c>
      <c r="G61" s="46" t="s">
        <v>83</v>
      </c>
      <c r="K61" s="67">
        <f t="shared" si="9"/>
        <v>1750748</v>
      </c>
      <c r="L61" s="64"/>
      <c r="M61" s="52">
        <v>1676695</v>
      </c>
      <c r="N61" s="64"/>
      <c r="O61" s="67">
        <f t="shared" si="10"/>
        <v>-74053</v>
      </c>
      <c r="Q61" s="53">
        <f t="shared" si="11"/>
        <v>-4.4166052859941733E-2</v>
      </c>
    </row>
    <row r="62" spans="1:20">
      <c r="A62" s="64">
        <f>SUM(A56:A61)</f>
        <v>41524300</v>
      </c>
      <c r="B62" s="64"/>
      <c r="C62" s="64">
        <f>SUM(C56:C61)</f>
        <v>41573424</v>
      </c>
      <c r="D62" s="64"/>
      <c r="E62" s="64">
        <f t="shared" si="8"/>
        <v>49124</v>
      </c>
      <c r="G62" s="46" t="s">
        <v>84</v>
      </c>
      <c r="K62" s="64">
        <f>SUM(K56:K61)</f>
        <v>41524300</v>
      </c>
      <c r="L62" s="64"/>
      <c r="M62" s="64">
        <f>SUM(M56:M61)</f>
        <v>40634272</v>
      </c>
      <c r="N62" s="64"/>
      <c r="O62" s="64">
        <f>SUM(O56:O61)</f>
        <v>-890028</v>
      </c>
      <c r="Q62" s="50">
        <f t="shared" si="11"/>
        <v>-2.1903382445242283E-2</v>
      </c>
    </row>
    <row r="63" spans="1:20">
      <c r="A63" s="64"/>
      <c r="B63" s="64"/>
      <c r="C63" s="64"/>
      <c r="D63" s="64"/>
      <c r="E63" s="64"/>
      <c r="G63" s="46" t="s">
        <v>85</v>
      </c>
      <c r="K63" s="64"/>
      <c r="L63" s="64"/>
      <c r="M63" s="64"/>
      <c r="N63" s="64"/>
      <c r="O63" s="64"/>
    </row>
    <row r="64" spans="1:20">
      <c r="A64" s="48">
        <v>2272860</v>
      </c>
      <c r="B64" s="48"/>
      <c r="C64" s="48">
        <v>2536795</v>
      </c>
      <c r="D64" s="64"/>
      <c r="E64" s="64">
        <f>+C64-A64</f>
        <v>263935</v>
      </c>
      <c r="G64" s="46" t="s">
        <v>86</v>
      </c>
      <c r="K64" s="64">
        <f>+A64</f>
        <v>2272860</v>
      </c>
      <c r="L64" s="64"/>
      <c r="M64" s="49">
        <v>2782415</v>
      </c>
      <c r="N64" s="64"/>
      <c r="O64" s="64">
        <f>+M64-K64</f>
        <v>509555</v>
      </c>
      <c r="Q64" s="50">
        <f>+O64/M64</f>
        <v>0.18313407597356973</v>
      </c>
    </row>
    <row r="65" spans="1:20">
      <c r="A65" s="51">
        <v>428304</v>
      </c>
      <c r="B65" s="48"/>
      <c r="C65" s="51">
        <v>465400</v>
      </c>
      <c r="D65" s="64"/>
      <c r="E65" s="67">
        <f>+C65-A65</f>
        <v>37096</v>
      </c>
      <c r="G65" s="46" t="s">
        <v>87</v>
      </c>
      <c r="K65" s="67">
        <f>+A65</f>
        <v>428304</v>
      </c>
      <c r="L65" s="64"/>
      <c r="M65" s="52">
        <v>509574</v>
      </c>
      <c r="N65" s="64"/>
      <c r="O65" s="67">
        <f>+M65-K65</f>
        <v>81270</v>
      </c>
      <c r="Q65" s="53">
        <f>+O65/M65</f>
        <v>0.15948615902695193</v>
      </c>
    </row>
    <row r="66" spans="1:20">
      <c r="A66" s="68">
        <f>+A64+A65</f>
        <v>2701164</v>
      </c>
      <c r="B66" s="64"/>
      <c r="C66" s="68">
        <f>+C64+C65</f>
        <v>3002195</v>
      </c>
      <c r="D66" s="64"/>
      <c r="E66" s="68">
        <f>+E64+E65</f>
        <v>301031</v>
      </c>
      <c r="G66" s="46" t="s">
        <v>88</v>
      </c>
      <c r="K66" s="68">
        <f>+K64+K65</f>
        <v>2701164</v>
      </c>
      <c r="L66" s="64"/>
      <c r="M66" s="68">
        <f>+M64+M65</f>
        <v>3291989</v>
      </c>
      <c r="N66" s="64"/>
      <c r="O66" s="68">
        <f>+O64+O65</f>
        <v>590825</v>
      </c>
      <c r="Q66" s="57">
        <f>+O66/M66</f>
        <v>0.17947356446209267</v>
      </c>
      <c r="T66" s="64"/>
    </row>
    <row r="67" spans="1:20">
      <c r="A67" s="64">
        <f>+A54-A62-A66</f>
        <v>-4769560</v>
      </c>
      <c r="B67" s="64"/>
      <c r="C67" s="64">
        <f>+C54-C62-C66</f>
        <v>-1871271</v>
      </c>
      <c r="D67" s="64"/>
      <c r="E67" s="64">
        <f>+A67-C67</f>
        <v>-2898289</v>
      </c>
      <c r="G67" s="46" t="s">
        <v>89</v>
      </c>
      <c r="K67" s="64">
        <f>+K54-K62-K66</f>
        <v>-4769560</v>
      </c>
      <c r="L67" s="64"/>
      <c r="M67" s="64">
        <f>+M54-M62-M66</f>
        <v>-2382601</v>
      </c>
      <c r="N67" s="64"/>
      <c r="O67" s="64">
        <f>+K67-M67</f>
        <v>-2386959</v>
      </c>
      <c r="Q67" s="50">
        <f>+O67/M67</f>
        <v>1.0018290934990794</v>
      </c>
    </row>
    <row r="68" spans="1:20">
      <c r="A68" s="64"/>
      <c r="B68" s="64"/>
      <c r="C68" s="64"/>
      <c r="D68" s="64"/>
      <c r="E68" s="67"/>
      <c r="K68" s="67"/>
      <c r="L68" s="64"/>
      <c r="M68" s="64"/>
      <c r="N68" s="64"/>
      <c r="O68" s="67"/>
      <c r="Q68" s="73"/>
    </row>
    <row r="69" spans="1:20">
      <c r="A69" s="54">
        <v>269973</v>
      </c>
      <c r="B69" s="48"/>
      <c r="C69" s="54">
        <v>161748</v>
      </c>
      <c r="D69" s="64"/>
      <c r="E69" s="67">
        <f>+A69-C69</f>
        <v>108225</v>
      </c>
      <c r="G69" s="46" t="s">
        <v>138</v>
      </c>
      <c r="K69" s="67">
        <f>A69</f>
        <v>269973</v>
      </c>
      <c r="L69" s="64"/>
      <c r="M69" s="56">
        <v>162447</v>
      </c>
      <c r="N69" s="64"/>
      <c r="O69" s="67">
        <f>+K69-M69</f>
        <v>107526</v>
      </c>
      <c r="Q69" s="53">
        <f>+O69/M69</f>
        <v>0.66191434744870636</v>
      </c>
    </row>
    <row r="70" spans="1:20" ht="13.5" thickBot="1">
      <c r="A70" s="69">
        <f>+A67+A69</f>
        <v>-4499587</v>
      </c>
      <c r="B70" s="64"/>
      <c r="C70" s="69">
        <f>+C67+C69</f>
        <v>-1709523</v>
      </c>
      <c r="D70" s="64"/>
      <c r="E70" s="69">
        <f>+A70-C70</f>
        <v>-2790064</v>
      </c>
      <c r="G70" s="46" t="s">
        <v>90</v>
      </c>
      <c r="K70" s="69">
        <f>+K67+K69</f>
        <v>-4499587</v>
      </c>
      <c r="L70" s="64"/>
      <c r="M70" s="69">
        <f>+M67+M69</f>
        <v>-2220154</v>
      </c>
      <c r="N70" s="64"/>
      <c r="O70" s="69">
        <f>+K70-M70</f>
        <v>-2279433</v>
      </c>
      <c r="Q70" s="70">
        <f>+O70/M70</f>
        <v>1.0267004000623381</v>
      </c>
      <c r="T70" s="64"/>
    </row>
    <row r="71" spans="1:20" ht="13.5" thickTop="1">
      <c r="A71" s="80"/>
    </row>
    <row r="72" spans="1:20" ht="13.5" thickBot="1">
      <c r="A72" s="69">
        <f>+A70+A64</f>
        <v>-2226727</v>
      </c>
      <c r="B72" s="64"/>
      <c r="C72" s="69">
        <f>+C70+C64</f>
        <v>827272</v>
      </c>
      <c r="D72" s="64"/>
      <c r="E72" s="69">
        <f>+A72-C72</f>
        <v>-3053999</v>
      </c>
      <c r="G72" s="46" t="str">
        <f>+G29</f>
        <v>CASH FLOW FROM OPERATIONS</v>
      </c>
      <c r="K72" s="69">
        <f>+K70+K64</f>
        <v>-2226727</v>
      </c>
      <c r="L72" s="64"/>
      <c r="M72" s="69">
        <f>+M70+M64</f>
        <v>562261</v>
      </c>
      <c r="N72" s="64"/>
      <c r="O72" s="69">
        <f>+K72-M72</f>
        <v>-2788988</v>
      </c>
      <c r="Q72" s="70">
        <f>+O72/M72</f>
        <v>-4.9603084688427614</v>
      </c>
    </row>
    <row r="73" spans="1:20" ht="13.5" thickTop="1">
      <c r="A73" s="80"/>
    </row>
    <row r="74" spans="1:20">
      <c r="A74" s="64"/>
      <c r="C74" s="64"/>
      <c r="G74" s="46" t="s">
        <v>91</v>
      </c>
      <c r="M74" s="64"/>
    </row>
    <row r="75" spans="1:20">
      <c r="A75" s="64">
        <v>1586</v>
      </c>
      <c r="B75" s="71"/>
      <c r="C75" s="71">
        <v>1959</v>
      </c>
      <c r="D75" s="71"/>
      <c r="E75" s="64">
        <f t="shared" ref="E75:E80" si="12">+A75-C75</f>
        <v>-373</v>
      </c>
      <c r="G75" s="46" t="s">
        <v>92</v>
      </c>
      <c r="K75" s="64">
        <f>+A75</f>
        <v>1586</v>
      </c>
      <c r="L75" s="64"/>
      <c r="M75" s="64">
        <v>1959</v>
      </c>
      <c r="N75" s="64"/>
      <c r="O75" s="64">
        <f t="shared" ref="O75:O80" si="13">+K75-M75</f>
        <v>-373</v>
      </c>
      <c r="Q75" s="50">
        <f t="shared" ref="Q75:Q82" si="14">+O75/M75</f>
        <v>-0.19040326697294538</v>
      </c>
    </row>
    <row r="76" spans="1:20">
      <c r="A76" s="64">
        <v>6272</v>
      </c>
      <c r="B76" s="71"/>
      <c r="C76" s="71">
        <v>8179</v>
      </c>
      <c r="D76" s="71"/>
      <c r="E76" s="64">
        <f t="shared" si="12"/>
        <v>-1907</v>
      </c>
      <c r="G76" s="46" t="str">
        <f>+G33</f>
        <v>Patient Days - Total</v>
      </c>
      <c r="K76" s="64">
        <f t="shared" ref="K76:K83" si="15">+A76</f>
        <v>6272</v>
      </c>
      <c r="L76" s="64"/>
      <c r="M76" s="64">
        <v>8191</v>
      </c>
      <c r="N76" s="64"/>
      <c r="O76" s="64">
        <f t="shared" si="13"/>
        <v>-1919</v>
      </c>
      <c r="Q76" s="50">
        <f t="shared" si="14"/>
        <v>-0.23428152850689782</v>
      </c>
    </row>
    <row r="77" spans="1:20">
      <c r="A77" s="76">
        <v>17.13</v>
      </c>
      <c r="B77" s="71"/>
      <c r="C77" s="26">
        <v>25</v>
      </c>
      <c r="D77" s="71"/>
      <c r="E77" s="64">
        <f t="shared" si="12"/>
        <v>-7.870000000000001</v>
      </c>
      <c r="G77" s="46" t="str">
        <f>+G34</f>
        <v>Average Daily Census - Total</v>
      </c>
      <c r="K77" s="64">
        <f t="shared" si="15"/>
        <v>17.13</v>
      </c>
      <c r="L77" s="64"/>
      <c r="M77" s="64">
        <v>22.42</v>
      </c>
      <c r="N77" s="64"/>
      <c r="O77" s="64">
        <f t="shared" si="13"/>
        <v>-5.2900000000000027</v>
      </c>
      <c r="Q77" s="50">
        <f t="shared" si="14"/>
        <v>-0.23595004460303312</v>
      </c>
    </row>
    <row r="78" spans="1:20">
      <c r="A78" s="81">
        <v>0</v>
      </c>
      <c r="B78" s="71"/>
      <c r="C78" s="26">
        <v>6</v>
      </c>
      <c r="D78" s="71"/>
      <c r="E78" s="64">
        <f t="shared" si="12"/>
        <v>-6</v>
      </c>
      <c r="G78" s="46" t="s">
        <v>145</v>
      </c>
      <c r="K78" s="64">
        <f t="shared" si="15"/>
        <v>0</v>
      </c>
      <c r="L78" s="64"/>
      <c r="M78" s="64">
        <v>6.17</v>
      </c>
      <c r="N78" s="64"/>
      <c r="O78" s="64">
        <f t="shared" si="13"/>
        <v>-6.17</v>
      </c>
      <c r="Q78" s="50">
        <f t="shared" si="14"/>
        <v>-1</v>
      </c>
    </row>
    <row r="79" spans="1:20">
      <c r="A79" s="64">
        <v>2093</v>
      </c>
      <c r="B79" s="71"/>
      <c r="C79" s="71">
        <v>2587</v>
      </c>
      <c r="D79" s="71"/>
      <c r="E79" s="64">
        <f t="shared" si="12"/>
        <v>-494</v>
      </c>
      <c r="G79" s="46" t="s">
        <v>94</v>
      </c>
      <c r="K79" s="64">
        <f t="shared" si="15"/>
        <v>2093</v>
      </c>
      <c r="L79" s="64"/>
      <c r="M79" s="64">
        <v>2529</v>
      </c>
      <c r="N79" s="64"/>
      <c r="O79" s="64">
        <f t="shared" si="13"/>
        <v>-436</v>
      </c>
      <c r="Q79" s="50">
        <f t="shared" si="14"/>
        <v>-0.17240015816528273</v>
      </c>
    </row>
    <row r="80" spans="1:20">
      <c r="A80" s="64">
        <v>214</v>
      </c>
      <c r="B80" s="71"/>
      <c r="C80" s="71">
        <v>533</v>
      </c>
      <c r="D80" s="71"/>
      <c r="E80" s="64">
        <f t="shared" si="12"/>
        <v>-319</v>
      </c>
      <c r="G80" s="46" t="s">
        <v>95</v>
      </c>
      <c r="K80" s="64">
        <f t="shared" si="15"/>
        <v>214</v>
      </c>
      <c r="L80" s="64"/>
      <c r="M80" s="64">
        <v>350</v>
      </c>
      <c r="N80" s="64"/>
      <c r="O80" s="64">
        <f t="shared" si="13"/>
        <v>-136</v>
      </c>
      <c r="Q80" s="50">
        <f t="shared" si="14"/>
        <v>-0.38857142857142857</v>
      </c>
    </row>
    <row r="81" spans="1:17">
      <c r="A81" s="76">
        <v>366.43</v>
      </c>
      <c r="B81" s="71"/>
      <c r="C81" s="86"/>
      <c r="D81" s="71"/>
      <c r="E81" s="64"/>
      <c r="G81" s="46" t="s">
        <v>165</v>
      </c>
      <c r="K81" s="64">
        <f>A81</f>
        <v>366.43</v>
      </c>
      <c r="L81" s="64"/>
      <c r="M81" s="64">
        <v>395.5</v>
      </c>
      <c r="N81" s="64"/>
      <c r="O81" s="64">
        <f>+M81-K81</f>
        <v>29.069999999999993</v>
      </c>
      <c r="Q81" s="50">
        <f t="shared" si="14"/>
        <v>7.3501896333754729E-2</v>
      </c>
    </row>
    <row r="82" spans="1:17">
      <c r="A82" s="76">
        <v>404.3</v>
      </c>
      <c r="B82" s="71"/>
      <c r="C82" s="26"/>
      <c r="D82" s="71"/>
      <c r="E82" s="64" t="s">
        <v>31</v>
      </c>
      <c r="G82" s="46" t="s">
        <v>166</v>
      </c>
      <c r="K82" s="64">
        <f>A82</f>
        <v>404.3</v>
      </c>
      <c r="L82" s="64"/>
      <c r="M82" s="64">
        <v>428.73</v>
      </c>
      <c r="N82" s="64"/>
      <c r="O82" s="64">
        <f>+M82-K82</f>
        <v>24.430000000000007</v>
      </c>
      <c r="Q82" s="50">
        <f t="shared" si="14"/>
        <v>5.6982249900870023E-2</v>
      </c>
    </row>
    <row r="83" spans="1:17">
      <c r="A83" s="65"/>
      <c r="B83" s="72"/>
      <c r="C83" s="71"/>
      <c r="D83" s="72"/>
      <c r="E83" s="64"/>
      <c r="K83" s="65">
        <f t="shared" si="15"/>
        <v>0</v>
      </c>
      <c r="L83" s="65"/>
      <c r="M83" s="65">
        <v>0</v>
      </c>
      <c r="N83" s="65"/>
      <c r="O83" s="65"/>
      <c r="Q83" s="50"/>
    </row>
    <row r="84" spans="1:17" ht="15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</row>
    <row r="85" spans="1:17" ht="15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</row>
    <row r="86" spans="1:17" ht="15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</row>
  </sheetData>
  <mergeCells count="4">
    <mergeCell ref="A1:Q1"/>
    <mergeCell ref="A2:Q2"/>
    <mergeCell ref="A44:Q44"/>
    <mergeCell ref="A45:Q45"/>
  </mergeCells>
  <phoneticPr fontId="4" type="noConversion"/>
  <pageMargins left="0.25" right="0.25" top="0.5" bottom="0.5" header="0.5" footer="0.5"/>
  <pageSetup scale="95" orientation="landscape" r:id="rId1"/>
  <headerFooter alignWithMargins="0"/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Z125"/>
  <sheetViews>
    <sheetView topLeftCell="A22" workbookViewId="0">
      <selection activeCell="A81" sqref="A81"/>
    </sheetView>
  </sheetViews>
  <sheetFormatPr defaultRowHeight="12.75"/>
  <cols>
    <col min="2" max="3" width="9.140625" hidden="1" customWidth="1"/>
    <col min="4" max="4" width="10.7109375" hidden="1" customWidth="1"/>
    <col min="5" max="5" width="14.5703125" bestFit="1" customWidth="1"/>
    <col min="6" max="7" width="14.5703125" customWidth="1"/>
    <col min="8" max="9" width="12.85546875" bestFit="1" customWidth="1"/>
    <col min="10" max="12" width="12.85546875" customWidth="1"/>
    <col min="13" max="13" width="12.28515625" bestFit="1" customWidth="1"/>
    <col min="14" max="14" width="12.85546875" bestFit="1" customWidth="1"/>
    <col min="15" max="16" width="11.28515625" bestFit="1" customWidth="1"/>
    <col min="19" max="20" width="11.28515625" bestFit="1" customWidth="1"/>
    <col min="21" max="21" width="10.28515625" bestFit="1" customWidth="1"/>
    <col min="26" max="26" width="11.28515625" bestFit="1" customWidth="1"/>
  </cols>
  <sheetData>
    <row r="1" spans="1:12">
      <c r="A1" t="s">
        <v>18</v>
      </c>
    </row>
    <row r="3" spans="1:12">
      <c r="I3" s="4"/>
      <c r="J3" s="4"/>
      <c r="K3" s="4"/>
      <c r="L3" s="4"/>
    </row>
    <row r="4" spans="1:12">
      <c r="I4" s="4"/>
      <c r="J4" s="4"/>
      <c r="K4" s="4"/>
      <c r="L4" s="4"/>
    </row>
    <row r="5" spans="1:12">
      <c r="I5" s="4"/>
      <c r="J5" s="4"/>
      <c r="K5" s="4"/>
      <c r="L5" s="4"/>
    </row>
    <row r="6" spans="1:12">
      <c r="I6" s="4"/>
      <c r="J6" s="4"/>
      <c r="K6" s="4"/>
      <c r="L6" s="4"/>
    </row>
    <row r="7" spans="1:12">
      <c r="I7" s="4"/>
      <c r="J7" s="4"/>
      <c r="K7" s="4"/>
      <c r="L7" s="4"/>
    </row>
    <row r="8" spans="1:12">
      <c r="I8" s="4"/>
      <c r="J8" s="4"/>
      <c r="K8" s="4"/>
      <c r="L8" s="4"/>
    </row>
    <row r="9" spans="1:12">
      <c r="I9" s="4"/>
      <c r="J9" s="4"/>
      <c r="K9" s="4"/>
      <c r="L9" s="4"/>
    </row>
    <row r="10" spans="1:12">
      <c r="I10" s="4"/>
      <c r="J10" s="4"/>
      <c r="K10" s="4"/>
      <c r="L10" s="4"/>
    </row>
    <row r="11" spans="1:12">
      <c r="I11" s="4"/>
      <c r="J11" s="4"/>
      <c r="K11" s="4"/>
      <c r="L11" s="4"/>
    </row>
    <row r="13" spans="1:12">
      <c r="G13" s="15"/>
    </row>
    <row r="14" spans="1:12">
      <c r="G14" s="15"/>
      <c r="I14" s="14"/>
      <c r="J14" s="14"/>
      <c r="K14" s="14"/>
      <c r="L14" s="14"/>
    </row>
    <row r="15" spans="1:12">
      <c r="G15" s="15"/>
      <c r="I15" s="14"/>
      <c r="J15" s="14"/>
      <c r="K15" s="14"/>
      <c r="L15" s="14"/>
    </row>
    <row r="16" spans="1:12">
      <c r="G16" s="15"/>
      <c r="I16" s="14"/>
      <c r="J16" s="14"/>
      <c r="K16" s="14"/>
      <c r="L16" s="14"/>
    </row>
    <row r="17" spans="7:13">
      <c r="G17" s="15"/>
      <c r="I17" s="14"/>
      <c r="J17" s="14"/>
      <c r="K17" s="14"/>
      <c r="L17" s="14"/>
    </row>
    <row r="18" spans="7:13">
      <c r="G18" s="15"/>
      <c r="I18" s="14"/>
      <c r="J18" s="14"/>
      <c r="K18" s="14"/>
      <c r="L18" s="14"/>
    </row>
    <row r="19" spans="7:13">
      <c r="G19" s="15"/>
      <c r="I19" s="14"/>
      <c r="J19" s="14"/>
      <c r="K19" s="14"/>
      <c r="L19" s="14"/>
      <c r="M19" s="15"/>
    </row>
    <row r="20" spans="7:13">
      <c r="G20" s="15"/>
      <c r="I20" s="15"/>
      <c r="J20" s="15"/>
      <c r="K20" s="15"/>
      <c r="L20" s="15"/>
    </row>
    <row r="21" spans="7:13">
      <c r="G21" s="15"/>
    </row>
    <row r="22" spans="7:13">
      <c r="G22" s="15"/>
    </row>
    <row r="23" spans="7:13">
      <c r="G23" s="15"/>
    </row>
    <row r="24" spans="7:13">
      <c r="G24" s="15"/>
    </row>
    <row r="33" spans="1:8">
      <c r="A33" t="s">
        <v>20</v>
      </c>
    </row>
    <row r="34" spans="1:8">
      <c r="B34">
        <v>2000</v>
      </c>
      <c r="C34">
        <v>2001</v>
      </c>
      <c r="D34">
        <v>2004</v>
      </c>
      <c r="E34">
        <v>2005</v>
      </c>
      <c r="F34">
        <v>2006</v>
      </c>
      <c r="G34">
        <v>2007</v>
      </c>
      <c r="H34">
        <v>2008</v>
      </c>
    </row>
    <row r="35" spans="1:8">
      <c r="A35" t="s">
        <v>32</v>
      </c>
      <c r="B35" s="2" t="e">
        <f t="shared" ref="B35:H35" si="0">+B70/B53</f>
        <v>#REF!</v>
      </c>
      <c r="C35" s="2" t="e">
        <f t="shared" si="0"/>
        <v>#REF!</v>
      </c>
      <c r="D35" s="2">
        <f t="shared" si="0"/>
        <v>0.50714441436694946</v>
      </c>
      <c r="E35" s="15">
        <f t="shared" si="0"/>
        <v>0.67972500490421783</v>
      </c>
      <c r="F35" s="15">
        <f t="shared" si="0"/>
        <v>0.52613726445625852</v>
      </c>
      <c r="G35" s="15">
        <f t="shared" si="0"/>
        <v>0.51280684291240408</v>
      </c>
      <c r="H35" s="15">
        <f t="shared" si="0"/>
        <v>0.67858818582321623</v>
      </c>
    </row>
    <row r="36" spans="1:8">
      <c r="A36" t="s">
        <v>33</v>
      </c>
      <c r="B36" s="2" t="e">
        <f t="shared" ref="B36:G46" si="1">+B71/B54</f>
        <v>#REF!</v>
      </c>
      <c r="C36" s="2" t="e">
        <f t="shared" si="1"/>
        <v>#REF!</v>
      </c>
      <c r="D36" s="2">
        <f t="shared" si="1"/>
        <v>0.58996628442012278</v>
      </c>
      <c r="E36" s="15">
        <f t="shared" si="1"/>
        <v>0.5389068422835086</v>
      </c>
      <c r="F36" s="15">
        <f t="shared" si="1"/>
        <v>0.5316030453379178</v>
      </c>
      <c r="G36" s="15">
        <f t="shared" ref="G36:H46" si="2">+G71/G54</f>
        <v>0.62094583296687555</v>
      </c>
      <c r="H36" s="15">
        <f t="shared" si="2"/>
        <v>0.57603681695991171</v>
      </c>
    </row>
    <row r="37" spans="1:8">
      <c r="A37" t="s">
        <v>34</v>
      </c>
      <c r="B37" s="2" t="e">
        <f t="shared" si="1"/>
        <v>#REF!</v>
      </c>
      <c r="C37" s="2" t="e">
        <f t="shared" si="1"/>
        <v>#REF!</v>
      </c>
      <c r="D37" s="2">
        <f t="shared" si="1"/>
        <v>0.55618784300142166</v>
      </c>
      <c r="E37" s="15">
        <f t="shared" si="1"/>
        <v>0.5048071851127528</v>
      </c>
      <c r="F37" s="15">
        <f t="shared" si="1"/>
        <v>0.55341127379754851</v>
      </c>
      <c r="G37" s="15">
        <f t="shared" si="2"/>
        <v>0.61192531771429681</v>
      </c>
      <c r="H37" s="15">
        <f t="shared" si="2"/>
        <v>0.68400224649775743</v>
      </c>
    </row>
    <row r="38" spans="1:8">
      <c r="A38" t="s">
        <v>35</v>
      </c>
      <c r="B38" s="2" t="e">
        <f t="shared" si="1"/>
        <v>#REF!</v>
      </c>
      <c r="C38" s="2" t="e">
        <f t="shared" si="1"/>
        <v>#REF!</v>
      </c>
      <c r="D38" s="2">
        <f t="shared" si="1"/>
        <v>0.52303152863195823</v>
      </c>
      <c r="E38" s="15">
        <f t="shared" si="1"/>
        <v>0.54934490799195856</v>
      </c>
      <c r="F38" s="15">
        <f t="shared" si="1"/>
        <v>0.58157210793356739</v>
      </c>
      <c r="G38" s="15">
        <f t="shared" si="2"/>
        <v>0.55295292996400069</v>
      </c>
      <c r="H38" s="15">
        <f t="shared" si="2"/>
        <v>0.58809966943526204</v>
      </c>
    </row>
    <row r="39" spans="1:8">
      <c r="A39" t="s">
        <v>5</v>
      </c>
      <c r="B39" s="2" t="e">
        <f t="shared" si="1"/>
        <v>#REF!</v>
      </c>
      <c r="C39" s="2" t="e">
        <f t="shared" si="1"/>
        <v>#REF!</v>
      </c>
      <c r="D39" s="2">
        <f t="shared" si="1"/>
        <v>0.54062757430191255</v>
      </c>
      <c r="E39" s="15">
        <f t="shared" si="1"/>
        <v>0.64983163817555323</v>
      </c>
      <c r="F39" s="15">
        <f>+F74/F57-0.4</f>
        <v>0.74870651727576687</v>
      </c>
      <c r="G39" s="15">
        <f t="shared" si="1"/>
        <v>0.63352445500253762</v>
      </c>
      <c r="H39" s="15">
        <f t="shared" si="2"/>
        <v>0.53483392186209833</v>
      </c>
    </row>
    <row r="40" spans="1:8">
      <c r="A40" t="s">
        <v>141</v>
      </c>
      <c r="B40" s="2" t="e">
        <f t="shared" si="1"/>
        <v>#REF!</v>
      </c>
      <c r="C40" s="2" t="e">
        <f t="shared" si="1"/>
        <v>#REF!</v>
      </c>
      <c r="D40" s="2">
        <f t="shared" si="1"/>
        <v>0.49965723880082547</v>
      </c>
      <c r="E40" s="15">
        <f t="shared" si="1"/>
        <v>0.53805203474580898</v>
      </c>
      <c r="F40" s="15">
        <f t="shared" si="1"/>
        <v>0.61114968837530292</v>
      </c>
      <c r="G40" s="15">
        <f t="shared" si="1"/>
        <v>0.57829244138770652</v>
      </c>
      <c r="H40" s="15">
        <f t="shared" si="2"/>
        <v>0.73626876814599751</v>
      </c>
    </row>
    <row r="41" spans="1:8">
      <c r="A41" t="s">
        <v>142</v>
      </c>
      <c r="B41" s="2" t="e">
        <f t="shared" si="1"/>
        <v>#REF!</v>
      </c>
      <c r="C41" s="2" t="e">
        <f t="shared" si="1"/>
        <v>#REF!</v>
      </c>
      <c r="D41" s="2">
        <f t="shared" si="1"/>
        <v>0.55981256530215151</v>
      </c>
      <c r="E41" s="15">
        <f t="shared" si="1"/>
        <v>0.60171274481576931</v>
      </c>
      <c r="F41" s="15">
        <f t="shared" si="1"/>
        <v>0.61637171978102478</v>
      </c>
      <c r="G41" s="15">
        <f t="shared" si="1"/>
        <v>0.71709953654912362</v>
      </c>
      <c r="H41" s="15">
        <f t="shared" si="2"/>
        <v>0.80662489617225797</v>
      </c>
    </row>
    <row r="42" spans="1:8">
      <c r="A42" t="s">
        <v>8</v>
      </c>
      <c r="B42" s="2" t="e">
        <f t="shared" si="1"/>
        <v>#REF!</v>
      </c>
      <c r="C42" s="2" t="e">
        <f t="shared" si="1"/>
        <v>#REF!</v>
      </c>
      <c r="D42" s="2">
        <f t="shared" si="1"/>
        <v>0.49975407744020961</v>
      </c>
      <c r="E42" s="15">
        <f t="shared" si="1"/>
        <v>0.56001649675985177</v>
      </c>
      <c r="F42" s="15">
        <f t="shared" si="1"/>
        <v>0.56115316228611067</v>
      </c>
      <c r="G42" s="15">
        <f t="shared" si="1"/>
        <v>0.62567190466724909</v>
      </c>
      <c r="H42" s="15">
        <f t="shared" si="2"/>
        <v>0.69234834895221742</v>
      </c>
    </row>
    <row r="43" spans="1:8">
      <c r="A43" t="s">
        <v>143</v>
      </c>
      <c r="B43" s="2" t="e">
        <f t="shared" si="1"/>
        <v>#REF!</v>
      </c>
      <c r="C43" s="2" t="e">
        <f t="shared" si="1"/>
        <v>#REF!</v>
      </c>
      <c r="D43" s="2">
        <f t="shared" si="1"/>
        <v>0.5376488521423094</v>
      </c>
      <c r="E43" s="15">
        <f t="shared" si="1"/>
        <v>0.53431858326745674</v>
      </c>
      <c r="F43" s="15">
        <f t="shared" si="1"/>
        <v>0.7431519694104568</v>
      </c>
      <c r="G43" s="15">
        <f t="shared" si="1"/>
        <v>0.73976099212490687</v>
      </c>
      <c r="H43" s="15">
        <f t="shared" si="2"/>
        <v>0.74657765721766844</v>
      </c>
    </row>
    <row r="44" spans="1:8">
      <c r="A44" t="s">
        <v>36</v>
      </c>
      <c r="B44" s="2" t="e">
        <f t="shared" si="1"/>
        <v>#REF!</v>
      </c>
      <c r="C44" s="2" t="e">
        <f t="shared" si="1"/>
        <v>#REF!</v>
      </c>
      <c r="D44" s="2">
        <f t="shared" si="1"/>
        <v>0.51282047984526435</v>
      </c>
      <c r="E44" s="15">
        <f t="shared" si="1"/>
        <v>0.53018645630882044</v>
      </c>
      <c r="F44" s="15">
        <f t="shared" si="1"/>
        <v>0.53094124601506609</v>
      </c>
      <c r="G44" s="15">
        <f t="shared" si="1"/>
        <v>0.73429419090049874</v>
      </c>
      <c r="H44" s="15">
        <f t="shared" si="2"/>
        <v>0.80908920194947309</v>
      </c>
    </row>
    <row r="45" spans="1:8">
      <c r="A45" t="s">
        <v>37</v>
      </c>
      <c r="B45" s="2" t="e">
        <f t="shared" si="1"/>
        <v>#REF!</v>
      </c>
      <c r="C45" s="2" t="e">
        <f t="shared" si="1"/>
        <v>#REF!</v>
      </c>
      <c r="D45" s="2">
        <f t="shared" si="1"/>
        <v>0.53166268084834345</v>
      </c>
      <c r="E45" s="15">
        <f t="shared" si="1"/>
        <v>0.53032060351324939</v>
      </c>
      <c r="F45" s="15">
        <f t="shared" si="1"/>
        <v>0.6594325989752774</v>
      </c>
      <c r="G45" s="15">
        <f t="shared" si="1"/>
        <v>0.63710104248391086</v>
      </c>
      <c r="H45" s="15">
        <f t="shared" si="2"/>
        <v>0.87473604533122995</v>
      </c>
    </row>
    <row r="46" spans="1:8">
      <c r="A46" t="s">
        <v>12</v>
      </c>
      <c r="B46" s="2" t="e">
        <f t="shared" si="1"/>
        <v>#REF!</v>
      </c>
      <c r="C46" s="2" t="e">
        <f t="shared" si="1"/>
        <v>#REF!</v>
      </c>
      <c r="D46" s="2">
        <f t="shared" si="1"/>
        <v>0.59946669906288597</v>
      </c>
      <c r="E46" s="15">
        <f t="shared" si="1"/>
        <v>0.45526521422769783</v>
      </c>
      <c r="F46" s="15">
        <f t="shared" si="1"/>
        <v>0.58104893461216478</v>
      </c>
      <c r="G46" s="15">
        <f t="shared" si="1"/>
        <v>0.67577076073268083</v>
      </c>
      <c r="H46" s="15">
        <f t="shared" si="2"/>
        <v>0.72939336198589477</v>
      </c>
    </row>
    <row r="47" spans="1:8">
      <c r="B47" s="2"/>
      <c r="C47" s="2"/>
      <c r="D47" s="2"/>
      <c r="E47" s="15"/>
      <c r="F47" s="15"/>
    </row>
    <row r="48" spans="1:8">
      <c r="B48" s="2"/>
      <c r="C48" s="2"/>
      <c r="D48" s="2"/>
      <c r="E48" s="15"/>
      <c r="F48" s="15"/>
    </row>
    <row r="49" spans="1:10">
      <c r="B49" s="2"/>
      <c r="C49" s="2"/>
      <c r="D49" s="2"/>
      <c r="E49" s="15"/>
      <c r="F49" s="15"/>
    </row>
    <row r="50" spans="1:10">
      <c r="B50" s="2"/>
      <c r="C50" s="2"/>
      <c r="D50" s="2"/>
      <c r="E50" s="15"/>
      <c r="F50" s="15"/>
    </row>
    <row r="51" spans="1:10">
      <c r="A51" t="s">
        <v>57</v>
      </c>
    </row>
    <row r="52" spans="1:10">
      <c r="B52">
        <v>2000</v>
      </c>
      <c r="C52">
        <v>2001</v>
      </c>
      <c r="D52">
        <v>2004</v>
      </c>
      <c r="E52">
        <v>2005</v>
      </c>
      <c r="F52">
        <v>2006</v>
      </c>
      <c r="G52">
        <v>2007</v>
      </c>
      <c r="H52">
        <v>2008</v>
      </c>
    </row>
    <row r="53" spans="1:10">
      <c r="A53" t="s">
        <v>1</v>
      </c>
      <c r="B53" s="1">
        <v>2707899</v>
      </c>
      <c r="C53" s="1">
        <v>2539944</v>
      </c>
      <c r="D53" s="8">
        <v>3082408</v>
      </c>
      <c r="E53" s="8">
        <v>2451971</v>
      </c>
      <c r="F53" s="8">
        <v>3437525</v>
      </c>
      <c r="G53" s="8">
        <f>3683337+85000</f>
        <v>3768337</v>
      </c>
      <c r="H53" s="8">
        <f>3279450-302061</f>
        <v>2977389</v>
      </c>
    </row>
    <row r="54" spans="1:10">
      <c r="A54" t="s">
        <v>2</v>
      </c>
      <c r="B54" s="1">
        <v>2618580</v>
      </c>
      <c r="C54" s="1">
        <v>2641916</v>
      </c>
      <c r="D54" s="8">
        <v>2537106</v>
      </c>
      <c r="E54" s="8">
        <v>2940948</v>
      </c>
      <c r="F54" s="8">
        <v>3092202</v>
      </c>
      <c r="G54" s="8">
        <f>3020933-229294+85000</f>
        <v>2876639</v>
      </c>
      <c r="H54" s="8">
        <f>3640620-375603</f>
        <v>3265017</v>
      </c>
    </row>
    <row r="55" spans="1:10">
      <c r="A55" t="s">
        <v>3</v>
      </c>
      <c r="B55" s="1">
        <v>2660332</v>
      </c>
      <c r="C55" s="1">
        <v>2889731</v>
      </c>
      <c r="D55" s="8">
        <v>2927466</v>
      </c>
      <c r="E55" s="8">
        <v>3383997</v>
      </c>
      <c r="F55" s="8">
        <v>3355125</v>
      </c>
      <c r="G55" s="8">
        <f>3342610-242437+85000</f>
        <v>3185173</v>
      </c>
      <c r="H55" s="8">
        <f>3520228-359753</f>
        <v>3160475</v>
      </c>
    </row>
    <row r="56" spans="1:10">
      <c r="A56" t="s">
        <v>4</v>
      </c>
      <c r="B56" s="1">
        <v>2462875</v>
      </c>
      <c r="C56" s="1">
        <v>2694927</v>
      </c>
      <c r="D56" s="8">
        <v>3094584</v>
      </c>
      <c r="E56" s="8">
        <v>3049190</v>
      </c>
      <c r="F56" s="8">
        <v>3091976</v>
      </c>
      <c r="G56" s="8">
        <f>3670973-124512+85000</f>
        <v>3631461</v>
      </c>
      <c r="H56" s="8">
        <f>3646895-334987</f>
        <v>3311908</v>
      </c>
    </row>
    <row r="57" spans="1:10">
      <c r="A57" t="s">
        <v>5</v>
      </c>
      <c r="B57" s="1">
        <v>2380909</v>
      </c>
      <c r="C57" s="1">
        <v>2613469</v>
      </c>
      <c r="D57" s="8">
        <v>2885491</v>
      </c>
      <c r="E57" s="8">
        <v>2599758</v>
      </c>
      <c r="F57" s="8">
        <v>1585371</v>
      </c>
      <c r="G57" s="8">
        <f>3174006+85000</f>
        <v>3259006</v>
      </c>
      <c r="H57" s="8">
        <v>3910599</v>
      </c>
    </row>
    <row r="58" spans="1:10">
      <c r="A58" t="s">
        <v>6</v>
      </c>
      <c r="B58" s="1">
        <v>2002781</v>
      </c>
      <c r="C58" s="1">
        <v>2591712</v>
      </c>
      <c r="D58" s="8">
        <v>3104202</v>
      </c>
      <c r="E58" s="8">
        <v>3096431</v>
      </c>
      <c r="F58" s="8">
        <v>2819738</v>
      </c>
      <c r="G58" s="8">
        <f>3437128+85000</f>
        <v>3522128</v>
      </c>
      <c r="H58" s="8">
        <f>3051436-339061</f>
        <v>2712375</v>
      </c>
    </row>
    <row r="59" spans="1:10">
      <c r="A59" t="s">
        <v>7</v>
      </c>
      <c r="B59" s="1">
        <v>2332256</v>
      </c>
      <c r="C59" s="1">
        <v>2642841</v>
      </c>
      <c r="D59" s="8">
        <v>2675065</v>
      </c>
      <c r="E59" s="8">
        <v>2848060</v>
      </c>
      <c r="F59" s="8">
        <v>3010203</v>
      </c>
      <c r="G59" s="8">
        <f>2922748-251699</f>
        <v>2671049</v>
      </c>
      <c r="H59" s="8">
        <f>2977491-318038</f>
        <v>2659453</v>
      </c>
    </row>
    <row r="60" spans="1:10">
      <c r="A60" t="s">
        <v>8</v>
      </c>
      <c r="B60" s="1">
        <v>2530223</v>
      </c>
      <c r="C60" s="1">
        <v>2752496</v>
      </c>
      <c r="D60" s="8">
        <v>3169697</v>
      </c>
      <c r="E60" s="8">
        <v>2989678</v>
      </c>
      <c r="F60" s="8">
        <v>3267051</v>
      </c>
      <c r="G60" s="8">
        <f>3630613-239879</f>
        <v>3390734</v>
      </c>
      <c r="H60" s="8">
        <v>2943979</v>
      </c>
      <c r="I60" s="8"/>
      <c r="J60" s="10"/>
    </row>
    <row r="61" spans="1:10">
      <c r="A61" t="s">
        <v>9</v>
      </c>
      <c r="B61" s="1">
        <v>2456687</v>
      </c>
      <c r="C61" s="1">
        <v>2458632</v>
      </c>
      <c r="D61" s="8">
        <v>2772382</v>
      </c>
      <c r="E61" s="8">
        <v>3172596</v>
      </c>
      <c r="F61" s="8">
        <v>2300917</v>
      </c>
      <c r="G61" s="8">
        <f>3073545-369450</f>
        <v>2704095</v>
      </c>
      <c r="H61" s="8">
        <v>2674922</v>
      </c>
    </row>
    <row r="62" spans="1:10">
      <c r="A62" t="s">
        <v>10</v>
      </c>
      <c r="B62" s="1">
        <v>2624063</v>
      </c>
      <c r="C62" s="1">
        <v>2715753.33</v>
      </c>
      <c r="D62" s="8">
        <v>3110336</v>
      </c>
      <c r="E62" s="8">
        <v>3289886</v>
      </c>
      <c r="F62" s="8">
        <v>3667564</v>
      </c>
      <c r="G62" s="8">
        <f>3045749-154096</f>
        <v>2891653</v>
      </c>
      <c r="H62" s="8">
        <f>2921127-427325</f>
        <v>2493802</v>
      </c>
    </row>
    <row r="63" spans="1:10">
      <c r="A63" t="s">
        <v>11</v>
      </c>
      <c r="B63" s="1">
        <v>2357616</v>
      </c>
      <c r="C63" s="1">
        <v>2521058</v>
      </c>
      <c r="D63" s="8">
        <v>2909482</v>
      </c>
      <c r="E63" s="8">
        <v>3294443</v>
      </c>
      <c r="F63" s="8">
        <v>2894637</v>
      </c>
      <c r="G63" s="8">
        <f>3507751-405353</f>
        <v>3102398</v>
      </c>
      <c r="H63" s="8">
        <f>2607419-345667</f>
        <v>2261752</v>
      </c>
    </row>
    <row r="64" spans="1:10">
      <c r="A64" t="s">
        <v>12</v>
      </c>
      <c r="B64" s="1">
        <v>2307616</v>
      </c>
      <c r="C64" s="1">
        <v>2711629</v>
      </c>
      <c r="D64" s="8">
        <v>2749292</v>
      </c>
      <c r="E64" s="8">
        <v>3049629</v>
      </c>
      <c r="F64" s="8">
        <v>3241918</v>
      </c>
      <c r="G64" s="8">
        <v>3151659</v>
      </c>
      <c r="H64" s="8">
        <f>3157380-358561</f>
        <v>2798819</v>
      </c>
    </row>
    <row r="66" spans="1:26">
      <c r="B66" s="1">
        <f>SUM(B53:B65)</f>
        <v>29441837</v>
      </c>
      <c r="C66" s="1">
        <f>SUM(C53:C65)</f>
        <v>31774108.329999998</v>
      </c>
    </row>
    <row r="68" spans="1:26">
      <c r="A68" t="s">
        <v>21</v>
      </c>
      <c r="I68" t="s">
        <v>22</v>
      </c>
      <c r="O68" t="s">
        <v>23</v>
      </c>
      <c r="U68" t="s">
        <v>19</v>
      </c>
    </row>
    <row r="69" spans="1:26">
      <c r="B69">
        <v>2000</v>
      </c>
      <c r="C69">
        <v>2001</v>
      </c>
      <c r="D69">
        <v>2004</v>
      </c>
      <c r="E69">
        <v>2005</v>
      </c>
      <c r="F69">
        <v>2006</v>
      </c>
      <c r="G69">
        <v>2007</v>
      </c>
      <c r="H69">
        <v>2008</v>
      </c>
      <c r="J69">
        <v>2004</v>
      </c>
      <c r="K69">
        <v>2005</v>
      </c>
      <c r="L69">
        <v>2006</v>
      </c>
      <c r="M69">
        <v>2007</v>
      </c>
      <c r="N69">
        <v>2008</v>
      </c>
      <c r="P69">
        <v>2004</v>
      </c>
      <c r="Q69">
        <v>2005</v>
      </c>
      <c r="R69">
        <v>2006</v>
      </c>
      <c r="S69">
        <v>2007</v>
      </c>
      <c r="T69">
        <v>2008</v>
      </c>
      <c r="V69">
        <v>2004</v>
      </c>
      <c r="W69">
        <v>2005</v>
      </c>
      <c r="X69">
        <v>2006</v>
      </c>
      <c r="Y69">
        <v>2007</v>
      </c>
      <c r="Z69">
        <v>2008</v>
      </c>
    </row>
    <row r="70" spans="1:26">
      <c r="A70" t="s">
        <v>1</v>
      </c>
      <c r="B70" s="1" t="e">
        <f>+#REF!+#REF!+#REF!</f>
        <v>#REF!</v>
      </c>
      <c r="C70" s="1" t="e">
        <f>+#REF!+#REF!+#REF!</f>
        <v>#REF!</v>
      </c>
      <c r="D70" s="8">
        <f t="shared" ref="D70:H73" si="3">+J70+P70+V70</f>
        <v>1563226</v>
      </c>
      <c r="E70" s="8">
        <f t="shared" si="3"/>
        <v>1666666</v>
      </c>
      <c r="F70" s="8">
        <f t="shared" si="3"/>
        <v>1808610</v>
      </c>
      <c r="G70" s="8">
        <f t="shared" si="3"/>
        <v>1932429</v>
      </c>
      <c r="H70" s="8">
        <f t="shared" si="3"/>
        <v>2020421</v>
      </c>
      <c r="I70" t="s">
        <v>1</v>
      </c>
      <c r="J70" s="8">
        <v>1202695</v>
      </c>
      <c r="K70" s="8">
        <v>1356924</v>
      </c>
      <c r="L70" s="8">
        <v>1505698</v>
      </c>
      <c r="M70" s="8">
        <v>1601372</v>
      </c>
      <c r="N70" s="8">
        <v>1574353</v>
      </c>
      <c r="O70" t="s">
        <v>1</v>
      </c>
      <c r="P70" s="8">
        <v>238087</v>
      </c>
      <c r="Q70" s="8">
        <v>278349</v>
      </c>
      <c r="R70" s="8">
        <v>227905</v>
      </c>
      <c r="S70" s="8">
        <v>292566</v>
      </c>
      <c r="T70" s="8">
        <v>369128</v>
      </c>
      <c r="U70" t="s">
        <v>1</v>
      </c>
      <c r="V70" s="8">
        <v>122444</v>
      </c>
      <c r="W70" s="8">
        <v>31393</v>
      </c>
      <c r="X70" s="8">
        <v>75007</v>
      </c>
      <c r="Y70" s="8">
        <v>38491</v>
      </c>
      <c r="Z70" s="8">
        <v>76940</v>
      </c>
    </row>
    <row r="71" spans="1:26">
      <c r="A71" t="s">
        <v>2</v>
      </c>
      <c r="B71" s="1" t="e">
        <f>+#REF!+#REF!+#REF!</f>
        <v>#REF!</v>
      </c>
      <c r="C71" s="1" t="e">
        <f>+#REF!+#REF!+#REF!</f>
        <v>#REF!</v>
      </c>
      <c r="D71" s="8">
        <f t="shared" si="3"/>
        <v>1496807</v>
      </c>
      <c r="E71" s="8">
        <f t="shared" si="3"/>
        <v>1584897</v>
      </c>
      <c r="F71" s="8">
        <f t="shared" si="3"/>
        <v>1643824</v>
      </c>
      <c r="G71" s="8">
        <f t="shared" si="3"/>
        <v>1786237</v>
      </c>
      <c r="H71" s="8">
        <f t="shared" si="3"/>
        <v>1880770</v>
      </c>
      <c r="I71" t="s">
        <v>2</v>
      </c>
      <c r="J71" s="8">
        <v>1148581</v>
      </c>
      <c r="K71" s="8">
        <v>1283349</v>
      </c>
      <c r="L71" s="8">
        <v>1358597</v>
      </c>
      <c r="M71" s="8">
        <v>1417149</v>
      </c>
      <c r="N71" s="8">
        <v>1615720</v>
      </c>
      <c r="O71" t="s">
        <v>2</v>
      </c>
      <c r="P71" s="8">
        <v>212392</v>
      </c>
      <c r="Q71" s="8">
        <v>273269</v>
      </c>
      <c r="R71" s="8">
        <v>212686</v>
      </c>
      <c r="S71" s="8">
        <v>279280</v>
      </c>
      <c r="T71" s="8">
        <v>201050</v>
      </c>
      <c r="U71" t="s">
        <v>2</v>
      </c>
      <c r="V71" s="8">
        <v>135834</v>
      </c>
      <c r="W71" s="8">
        <v>28279</v>
      </c>
      <c r="X71" s="8">
        <v>72541</v>
      </c>
      <c r="Y71" s="8">
        <v>89808</v>
      </c>
      <c r="Z71" s="8">
        <v>64000</v>
      </c>
    </row>
    <row r="72" spans="1:26">
      <c r="A72" t="s">
        <v>3</v>
      </c>
      <c r="B72" s="1" t="e">
        <f>+#REF!+#REF!+#REF!</f>
        <v>#REF!</v>
      </c>
      <c r="C72" s="1" t="e">
        <f>+#REF!+#REF!+#REF!</f>
        <v>#REF!</v>
      </c>
      <c r="D72" s="8">
        <f t="shared" si="3"/>
        <v>1628221</v>
      </c>
      <c r="E72" s="8">
        <f t="shared" si="3"/>
        <v>1708266</v>
      </c>
      <c r="F72" s="8">
        <f t="shared" si="3"/>
        <v>1856764</v>
      </c>
      <c r="G72" s="8">
        <f t="shared" si="3"/>
        <v>1949088</v>
      </c>
      <c r="H72" s="8">
        <f t="shared" si="3"/>
        <v>2161772</v>
      </c>
      <c r="I72" t="s">
        <v>3</v>
      </c>
      <c r="J72" s="8">
        <v>1265611</v>
      </c>
      <c r="K72" s="8">
        <v>1408736</v>
      </c>
      <c r="L72" s="8">
        <v>1539436</v>
      </c>
      <c r="M72" s="8">
        <v>1655157</v>
      </c>
      <c r="N72" s="8">
        <v>1662328</v>
      </c>
      <c r="O72" t="s">
        <v>3</v>
      </c>
      <c r="P72" s="8">
        <v>238179</v>
      </c>
      <c r="Q72" s="8">
        <v>273416</v>
      </c>
      <c r="R72" s="8">
        <v>249091</v>
      </c>
      <c r="S72" s="8">
        <v>254591</v>
      </c>
      <c r="T72" s="8">
        <v>444491</v>
      </c>
      <c r="U72" t="s">
        <v>3</v>
      </c>
      <c r="V72" s="8">
        <v>124431</v>
      </c>
      <c r="W72" s="8">
        <v>26114</v>
      </c>
      <c r="X72" s="8">
        <v>68237</v>
      </c>
      <c r="Y72" s="8">
        <v>39340</v>
      </c>
      <c r="Z72" s="8">
        <v>54953</v>
      </c>
    </row>
    <row r="73" spans="1:26">
      <c r="A73" t="s">
        <v>4</v>
      </c>
      <c r="B73" s="1" t="e">
        <f>+#REF!+#REF!+#REF!</f>
        <v>#REF!</v>
      </c>
      <c r="C73" s="1" t="e">
        <f>+#REF!+#REF!+#REF!</f>
        <v>#REF!</v>
      </c>
      <c r="D73" s="8">
        <f t="shared" si="3"/>
        <v>1618565</v>
      </c>
      <c r="E73" s="8">
        <f t="shared" si="3"/>
        <v>1675057</v>
      </c>
      <c r="F73" s="8">
        <f t="shared" si="3"/>
        <v>1798207</v>
      </c>
      <c r="G73" s="8">
        <f t="shared" si="3"/>
        <v>2008027</v>
      </c>
      <c r="H73" s="8">
        <f t="shared" si="3"/>
        <v>1947732</v>
      </c>
      <c r="I73" t="s">
        <v>4</v>
      </c>
      <c r="J73" s="8">
        <v>1191671</v>
      </c>
      <c r="K73" s="8">
        <v>1390058</v>
      </c>
      <c r="L73" s="8">
        <v>1450104</v>
      </c>
      <c r="M73" s="8">
        <v>1583289</v>
      </c>
      <c r="N73" s="8">
        <v>1618500</v>
      </c>
      <c r="O73" t="s">
        <v>4</v>
      </c>
      <c r="P73" s="8">
        <v>260314</v>
      </c>
      <c r="Q73" s="8">
        <v>253621</v>
      </c>
      <c r="R73" s="8">
        <v>297598</v>
      </c>
      <c r="S73" s="8">
        <v>318223</v>
      </c>
      <c r="T73" s="8">
        <v>266197</v>
      </c>
      <c r="U73" t="s">
        <v>4</v>
      </c>
      <c r="V73" s="8">
        <v>166580</v>
      </c>
      <c r="W73" s="8">
        <v>31378</v>
      </c>
      <c r="X73" s="8">
        <v>50505</v>
      </c>
      <c r="Y73" s="8">
        <v>106515</v>
      </c>
      <c r="Z73" s="8">
        <v>63035</v>
      </c>
    </row>
    <row r="74" spans="1:26">
      <c r="A74" t="s">
        <v>5</v>
      </c>
      <c r="B74" s="1" t="e">
        <f>+#REF!+#REF!+#REF!</f>
        <v>#REF!</v>
      </c>
      <c r="C74" s="1" t="e">
        <f>+#REF!+#REF!+#REF!</f>
        <v>#REF!</v>
      </c>
      <c r="D74" s="8">
        <f t="shared" ref="D74:G81" si="4">+J74+P74+V74</f>
        <v>1559976</v>
      </c>
      <c r="E74" s="8">
        <f t="shared" si="4"/>
        <v>1689405</v>
      </c>
      <c r="F74" s="8">
        <f t="shared" si="4"/>
        <v>1821126</v>
      </c>
      <c r="G74" s="8">
        <f t="shared" si="4"/>
        <v>2064660</v>
      </c>
      <c r="H74" s="8">
        <f t="shared" ref="H74:H81" si="5">+N74+T74+Z74</f>
        <v>2091521</v>
      </c>
      <c r="I74" t="s">
        <v>5</v>
      </c>
      <c r="J74" s="8">
        <v>1224532</v>
      </c>
      <c r="K74" s="8">
        <v>1371796</v>
      </c>
      <c r="L74" s="8">
        <v>1455898</v>
      </c>
      <c r="M74" s="8">
        <v>1711836</v>
      </c>
      <c r="N74" s="8">
        <v>1656826</v>
      </c>
      <c r="O74" t="s">
        <v>5</v>
      </c>
      <c r="P74" s="8">
        <v>244301</v>
      </c>
      <c r="Q74" s="8">
        <v>257765</v>
      </c>
      <c r="R74" s="8">
        <v>274151</v>
      </c>
      <c r="S74" s="8">
        <v>291141</v>
      </c>
      <c r="T74" s="8">
        <v>316601</v>
      </c>
      <c r="U74" t="s">
        <v>5</v>
      </c>
      <c r="V74" s="8">
        <v>91143</v>
      </c>
      <c r="W74" s="8">
        <v>59844</v>
      </c>
      <c r="X74" s="8">
        <v>91077</v>
      </c>
      <c r="Y74" s="8">
        <v>61683</v>
      </c>
      <c r="Z74" s="8">
        <v>118094</v>
      </c>
    </row>
    <row r="75" spans="1:26">
      <c r="A75" t="s">
        <v>6</v>
      </c>
      <c r="B75" s="1" t="e">
        <f>+#REF!+#REF!+#REF!</f>
        <v>#REF!</v>
      </c>
      <c r="C75" s="1" t="e">
        <f>+#REF!+#REF!+#REF!</f>
        <v>#REF!</v>
      </c>
      <c r="D75" s="8">
        <f t="shared" si="4"/>
        <v>1551037</v>
      </c>
      <c r="E75" s="8">
        <f t="shared" si="4"/>
        <v>1666041</v>
      </c>
      <c r="F75" s="8">
        <f t="shared" si="4"/>
        <v>1723282</v>
      </c>
      <c r="G75" s="8">
        <f t="shared" si="4"/>
        <v>2036820</v>
      </c>
      <c r="H75" s="8">
        <f t="shared" si="5"/>
        <v>1997037</v>
      </c>
      <c r="I75" t="s">
        <v>6</v>
      </c>
      <c r="J75" s="8">
        <v>1226833</v>
      </c>
      <c r="K75" s="8">
        <v>1368286</v>
      </c>
      <c r="L75" s="8">
        <v>1399586</v>
      </c>
      <c r="M75" s="8">
        <v>1664792</v>
      </c>
      <c r="N75" s="8">
        <v>1609228</v>
      </c>
      <c r="O75" t="s">
        <v>6</v>
      </c>
      <c r="P75" s="8">
        <v>232667</v>
      </c>
      <c r="Q75" s="8">
        <v>236418</v>
      </c>
      <c r="R75" s="8">
        <v>268949</v>
      </c>
      <c r="S75" s="8">
        <v>268376</v>
      </c>
      <c r="T75" s="8">
        <v>327137</v>
      </c>
      <c r="U75" t="s">
        <v>6</v>
      </c>
      <c r="V75" s="8">
        <v>91537</v>
      </c>
      <c r="W75" s="8">
        <v>61337</v>
      </c>
      <c r="X75" s="8">
        <v>54747</v>
      </c>
      <c r="Y75" s="8">
        <v>103652</v>
      </c>
      <c r="Z75" s="8">
        <v>60672</v>
      </c>
    </row>
    <row r="76" spans="1:26">
      <c r="A76" t="s">
        <v>7</v>
      </c>
      <c r="B76" s="1" t="e">
        <f>+#REF!+#REF!+#REF!</f>
        <v>#REF!</v>
      </c>
      <c r="C76" s="1" t="e">
        <f>+#REF!+#REF!+#REF!</f>
        <v>#REF!</v>
      </c>
      <c r="D76" s="8">
        <f t="shared" si="4"/>
        <v>1497535</v>
      </c>
      <c r="E76" s="8">
        <f t="shared" si="4"/>
        <v>1713714</v>
      </c>
      <c r="F76" s="8">
        <f t="shared" si="4"/>
        <v>1855404</v>
      </c>
      <c r="G76" s="8">
        <f t="shared" si="4"/>
        <v>1915408</v>
      </c>
      <c r="H76" s="8">
        <f t="shared" si="5"/>
        <v>2145181</v>
      </c>
      <c r="I76" t="s">
        <v>7</v>
      </c>
      <c r="J76" s="8">
        <v>1237809</v>
      </c>
      <c r="K76" s="8">
        <v>1411813</v>
      </c>
      <c r="L76" s="8">
        <v>1451112</v>
      </c>
      <c r="M76" s="8">
        <v>1679212</v>
      </c>
      <c r="N76" s="8">
        <v>1661852</v>
      </c>
      <c r="O76" t="s">
        <v>7</v>
      </c>
      <c r="P76" s="8">
        <v>240160</v>
      </c>
      <c r="Q76" s="8">
        <v>254520</v>
      </c>
      <c r="R76" s="8">
        <v>301998</v>
      </c>
      <c r="S76" s="8">
        <v>176690</v>
      </c>
      <c r="T76" s="8">
        <v>390217</v>
      </c>
      <c r="U76" t="s">
        <v>7</v>
      </c>
      <c r="V76" s="8">
        <v>19566</v>
      </c>
      <c r="W76" s="8">
        <v>47381</v>
      </c>
      <c r="X76" s="8">
        <v>102294</v>
      </c>
      <c r="Y76" s="8">
        <v>59506</v>
      </c>
      <c r="Z76" s="8">
        <v>93112</v>
      </c>
    </row>
    <row r="77" spans="1:26">
      <c r="A77" t="s">
        <v>8</v>
      </c>
      <c r="B77" s="1" t="e">
        <f>+#REF!+#REF!+#REF!</f>
        <v>#REF!</v>
      </c>
      <c r="C77" s="1" t="e">
        <f>+#REF!+#REF!+#REF!</f>
        <v>#REF!</v>
      </c>
      <c r="D77" s="8">
        <f t="shared" si="4"/>
        <v>1584069</v>
      </c>
      <c r="E77" s="8">
        <f t="shared" si="4"/>
        <v>1674269</v>
      </c>
      <c r="F77" s="8">
        <f t="shared" si="4"/>
        <v>1833316</v>
      </c>
      <c r="G77" s="8">
        <f t="shared" si="4"/>
        <v>2121487</v>
      </c>
      <c r="H77" s="8">
        <f t="shared" si="5"/>
        <v>2038259</v>
      </c>
      <c r="I77" t="s">
        <v>8</v>
      </c>
      <c r="J77" s="8">
        <v>1331265</v>
      </c>
      <c r="K77" s="8">
        <v>1358695</v>
      </c>
      <c r="L77" s="8">
        <v>1470034</v>
      </c>
      <c r="M77" s="8">
        <v>1739777</v>
      </c>
      <c r="N77" s="8">
        <v>1608458</v>
      </c>
      <c r="O77" t="s">
        <v>8</v>
      </c>
      <c r="P77" s="8">
        <v>240418</v>
      </c>
      <c r="Q77" s="8">
        <v>251493</v>
      </c>
      <c r="R77" s="8">
        <v>274360</v>
      </c>
      <c r="S77" s="8">
        <v>296467</v>
      </c>
      <c r="T77" s="8">
        <v>340030</v>
      </c>
      <c r="U77" t="s">
        <v>8</v>
      </c>
      <c r="V77" s="8">
        <v>12386</v>
      </c>
      <c r="W77" s="8">
        <v>64081</v>
      </c>
      <c r="X77" s="8">
        <v>88922</v>
      </c>
      <c r="Y77" s="8">
        <v>85243</v>
      </c>
      <c r="Z77" s="8">
        <v>89771</v>
      </c>
    </row>
    <row r="78" spans="1:26">
      <c r="A78" t="s">
        <v>9</v>
      </c>
      <c r="B78" s="1" t="e">
        <f>+#REF!+#REF!+#REF!</f>
        <v>#REF!</v>
      </c>
      <c r="C78" s="1" t="e">
        <f>+#REF!+#REF!+#REF!</f>
        <v>#REF!</v>
      </c>
      <c r="D78" s="8">
        <f t="shared" si="4"/>
        <v>1490568</v>
      </c>
      <c r="E78" s="8">
        <f t="shared" si="4"/>
        <v>1695177</v>
      </c>
      <c r="F78" s="8">
        <f t="shared" si="4"/>
        <v>1709931</v>
      </c>
      <c r="G78" s="8">
        <f t="shared" si="4"/>
        <v>2000384</v>
      </c>
      <c r="H78" s="8">
        <f t="shared" si="5"/>
        <v>1997037</v>
      </c>
      <c r="I78" t="s">
        <v>9</v>
      </c>
      <c r="J78" s="8">
        <v>1239895</v>
      </c>
      <c r="K78" s="8">
        <v>1387481</v>
      </c>
      <c r="L78" s="8">
        <v>1424081</v>
      </c>
      <c r="M78" s="8">
        <v>1681642</v>
      </c>
      <c r="N78" s="8">
        <v>1597853</v>
      </c>
      <c r="O78" t="s">
        <v>9</v>
      </c>
      <c r="P78" s="8">
        <v>244046</v>
      </c>
      <c r="Q78" s="8">
        <v>266954</v>
      </c>
      <c r="R78" s="8">
        <v>219146</v>
      </c>
      <c r="S78" s="8">
        <v>266938</v>
      </c>
      <c r="T78" s="8">
        <v>347528</v>
      </c>
      <c r="U78" t="s">
        <v>9</v>
      </c>
      <c r="V78" s="8">
        <v>6627</v>
      </c>
      <c r="W78" s="8">
        <v>40742</v>
      </c>
      <c r="X78" s="8">
        <v>66704</v>
      </c>
      <c r="Y78" s="8">
        <v>51804</v>
      </c>
      <c r="Z78" s="8">
        <v>51656</v>
      </c>
    </row>
    <row r="79" spans="1:26">
      <c r="A79" t="s">
        <v>10</v>
      </c>
      <c r="B79" s="1" t="e">
        <f>+#REF!+#REF!+#REF!</f>
        <v>#REF!</v>
      </c>
      <c r="C79" s="1" t="e">
        <f>+#REF!+#REF!+#REF!</f>
        <v>#REF!</v>
      </c>
      <c r="D79" s="8">
        <f t="shared" si="4"/>
        <v>1595044</v>
      </c>
      <c r="E79" s="8">
        <f t="shared" si="4"/>
        <v>1744253</v>
      </c>
      <c r="F79" s="8">
        <f t="shared" si="4"/>
        <v>1947261</v>
      </c>
      <c r="G79" s="8">
        <f t="shared" si="4"/>
        <v>2123324</v>
      </c>
      <c r="H79" s="8">
        <f t="shared" si="5"/>
        <v>2017708.27</v>
      </c>
      <c r="I79" t="s">
        <v>10</v>
      </c>
      <c r="J79" s="8">
        <v>1347453</v>
      </c>
      <c r="K79" s="8">
        <v>1442417</v>
      </c>
      <c r="L79" s="8">
        <v>1567846</v>
      </c>
      <c r="M79" s="8">
        <v>1743492</v>
      </c>
      <c r="N79" s="8">
        <v>1614493.83</v>
      </c>
      <c r="O79" t="s">
        <v>10</v>
      </c>
      <c r="P79" s="8">
        <v>242233</v>
      </c>
      <c r="Q79" s="8">
        <v>264646</v>
      </c>
      <c r="R79" s="8">
        <v>309362</v>
      </c>
      <c r="S79" s="8">
        <v>331070</v>
      </c>
      <c r="T79" s="8">
        <v>336524.44</v>
      </c>
      <c r="U79" t="s">
        <v>10</v>
      </c>
      <c r="V79" s="8">
        <v>5358</v>
      </c>
      <c r="W79" s="8">
        <v>37190</v>
      </c>
      <c r="X79" s="8">
        <v>70053</v>
      </c>
      <c r="Y79" s="8">
        <v>48762</v>
      </c>
      <c r="Z79" s="8">
        <v>66690</v>
      </c>
    </row>
    <row r="80" spans="1:26">
      <c r="A80" t="s">
        <v>11</v>
      </c>
      <c r="B80" s="1" t="e">
        <f>+#REF!+#REF!+#REF!</f>
        <v>#REF!</v>
      </c>
      <c r="C80" s="1" t="e">
        <f>+#REF!+#REF!+#REF!</f>
        <v>#REF!</v>
      </c>
      <c r="D80" s="8">
        <f t="shared" si="4"/>
        <v>1546863</v>
      </c>
      <c r="E80" s="8">
        <f t="shared" si="4"/>
        <v>1747111</v>
      </c>
      <c r="F80" s="8">
        <f t="shared" si="4"/>
        <v>1908818</v>
      </c>
      <c r="G80" s="8">
        <f t="shared" si="4"/>
        <v>1976541</v>
      </c>
      <c r="H80" s="8">
        <f t="shared" si="5"/>
        <v>1978436</v>
      </c>
      <c r="I80" t="s">
        <v>11</v>
      </c>
      <c r="J80" s="8">
        <v>1307475</v>
      </c>
      <c r="K80" s="8">
        <v>1415326</v>
      </c>
      <c r="L80" s="8">
        <v>1490751</v>
      </c>
      <c r="M80" s="8">
        <v>1635394</v>
      </c>
      <c r="N80" s="8">
        <v>1614723</v>
      </c>
      <c r="O80" t="s">
        <v>11</v>
      </c>
      <c r="P80" s="8">
        <v>228050</v>
      </c>
      <c r="Q80" s="8">
        <v>261353</v>
      </c>
      <c r="R80" s="8">
        <v>319944</v>
      </c>
      <c r="S80" s="8">
        <v>264043</v>
      </c>
      <c r="T80" s="8">
        <v>321146</v>
      </c>
      <c r="U80" t="s">
        <v>11</v>
      </c>
      <c r="V80" s="8">
        <v>11338</v>
      </c>
      <c r="W80" s="8">
        <v>70432</v>
      </c>
      <c r="X80" s="8">
        <v>98123</v>
      </c>
      <c r="Y80" s="8">
        <v>77104</v>
      </c>
      <c r="Z80" s="8">
        <v>42567</v>
      </c>
    </row>
    <row r="81" spans="1:26">
      <c r="A81" t="s">
        <v>12</v>
      </c>
      <c r="B81" s="1" t="e">
        <f>+#REF!+#REF!+#REF!</f>
        <v>#REF!</v>
      </c>
      <c r="C81" s="1" t="e">
        <f>+#REF!+#REF!+#REF!</f>
        <v>#REF!</v>
      </c>
      <c r="D81" s="8">
        <f t="shared" si="4"/>
        <v>1648109</v>
      </c>
      <c r="E81" s="8">
        <f t="shared" si="4"/>
        <v>1388390</v>
      </c>
      <c r="F81" s="8">
        <f t="shared" si="4"/>
        <v>1883713</v>
      </c>
      <c r="G81" s="8">
        <f t="shared" si="4"/>
        <v>2129799</v>
      </c>
      <c r="H81" s="8">
        <f t="shared" si="5"/>
        <v>2041440</v>
      </c>
      <c r="I81" t="s">
        <v>12</v>
      </c>
      <c r="J81" s="8">
        <v>1383065</v>
      </c>
      <c r="K81" s="8">
        <v>1467148</v>
      </c>
      <c r="L81" s="8">
        <v>1629797</v>
      </c>
      <c r="M81" s="8">
        <v>1715541</v>
      </c>
      <c r="N81" s="8">
        <v>1588741</v>
      </c>
      <c r="O81" t="s">
        <v>12</v>
      </c>
      <c r="P81" s="8">
        <v>237509</v>
      </c>
      <c r="Q81" s="8">
        <v>-122739</v>
      </c>
      <c r="R81" s="8">
        <v>165055</v>
      </c>
      <c r="S81" s="8">
        <v>348294</v>
      </c>
      <c r="T81" s="8">
        <v>361930</v>
      </c>
      <c r="U81" t="s">
        <v>12</v>
      </c>
      <c r="V81" s="8">
        <v>27535</v>
      </c>
      <c r="W81" s="8">
        <v>43981</v>
      </c>
      <c r="X81" s="8">
        <v>88861</v>
      </c>
      <c r="Y81" s="8">
        <v>65964</v>
      </c>
      <c r="Z81" s="8">
        <v>90769</v>
      </c>
    </row>
    <row r="82" spans="1:26">
      <c r="D82" s="8"/>
      <c r="E82" s="8"/>
      <c r="F82" s="8"/>
      <c r="G82" s="8"/>
    </row>
    <row r="86" spans="1:26">
      <c r="A86" t="s">
        <v>49</v>
      </c>
    </row>
    <row r="88" spans="1:26">
      <c r="A88" t="s">
        <v>50</v>
      </c>
    </row>
    <row r="89" spans="1:26">
      <c r="B89">
        <v>2000</v>
      </c>
      <c r="C89">
        <v>2001</v>
      </c>
    </row>
    <row r="90" spans="1:26">
      <c r="A90" t="s">
        <v>1</v>
      </c>
      <c r="B90" s="2" t="e">
        <f>+B114/B53</f>
        <v>#REF!</v>
      </c>
      <c r="C90" s="2" t="e">
        <f>+C114/C53</f>
        <v>#REF!</v>
      </c>
    </row>
    <row r="91" spans="1:26">
      <c r="A91" t="s">
        <v>2</v>
      </c>
      <c r="B91" s="2" t="e">
        <f t="shared" ref="B91:C101" si="6">+B115/B54</f>
        <v>#REF!</v>
      </c>
      <c r="C91" s="2" t="e">
        <f t="shared" si="6"/>
        <v>#REF!</v>
      </c>
    </row>
    <row r="92" spans="1:26">
      <c r="A92" t="s">
        <v>3</v>
      </c>
      <c r="B92" s="2" t="e">
        <f t="shared" si="6"/>
        <v>#REF!</v>
      </c>
      <c r="C92" s="2" t="e">
        <f t="shared" si="6"/>
        <v>#REF!</v>
      </c>
    </row>
    <row r="93" spans="1:26">
      <c r="A93" t="s">
        <v>4</v>
      </c>
      <c r="B93" s="2" t="e">
        <f t="shared" si="6"/>
        <v>#REF!</v>
      </c>
      <c r="C93" s="2" t="e">
        <f t="shared" si="6"/>
        <v>#REF!</v>
      </c>
    </row>
    <row r="94" spans="1:26">
      <c r="A94" t="s">
        <v>5</v>
      </c>
      <c r="B94" s="2" t="e">
        <f t="shared" si="6"/>
        <v>#REF!</v>
      </c>
      <c r="C94" s="2" t="e">
        <f t="shared" si="6"/>
        <v>#REF!</v>
      </c>
    </row>
    <row r="95" spans="1:26">
      <c r="A95" t="s">
        <v>6</v>
      </c>
      <c r="B95" s="2" t="e">
        <f t="shared" si="6"/>
        <v>#REF!</v>
      </c>
      <c r="C95" s="2" t="e">
        <f t="shared" si="6"/>
        <v>#REF!</v>
      </c>
    </row>
    <row r="96" spans="1:26">
      <c r="A96" t="s">
        <v>7</v>
      </c>
      <c r="B96" s="2" t="e">
        <f t="shared" si="6"/>
        <v>#REF!</v>
      </c>
      <c r="C96" s="2" t="e">
        <f t="shared" si="6"/>
        <v>#REF!</v>
      </c>
    </row>
    <row r="97" spans="1:18">
      <c r="A97" t="s">
        <v>8</v>
      </c>
      <c r="B97" s="2" t="e">
        <f t="shared" si="6"/>
        <v>#REF!</v>
      </c>
      <c r="C97" s="2" t="e">
        <f t="shared" si="6"/>
        <v>#REF!</v>
      </c>
    </row>
    <row r="98" spans="1:18">
      <c r="A98" t="s">
        <v>9</v>
      </c>
      <c r="B98" s="2" t="e">
        <f t="shared" si="6"/>
        <v>#REF!</v>
      </c>
      <c r="C98" s="2" t="e">
        <f t="shared" si="6"/>
        <v>#REF!</v>
      </c>
    </row>
    <row r="99" spans="1:18">
      <c r="A99" t="s">
        <v>10</v>
      </c>
      <c r="B99" s="2" t="e">
        <f t="shared" si="6"/>
        <v>#REF!</v>
      </c>
      <c r="C99" s="2" t="e">
        <f t="shared" si="6"/>
        <v>#REF!</v>
      </c>
    </row>
    <row r="100" spans="1:18">
      <c r="A100" t="s">
        <v>11</v>
      </c>
      <c r="B100" s="2" t="e">
        <f t="shared" si="6"/>
        <v>#REF!</v>
      </c>
      <c r="C100" s="2" t="e">
        <f t="shared" si="6"/>
        <v>#REF!</v>
      </c>
    </row>
    <row r="101" spans="1:18">
      <c r="A101" t="s">
        <v>12</v>
      </c>
      <c r="B101" s="2" t="e">
        <f t="shared" si="6"/>
        <v>#REF!</v>
      </c>
      <c r="C101" s="2" t="e">
        <f t="shared" si="6"/>
        <v>#REF!</v>
      </c>
    </row>
    <row r="111" spans="1:18">
      <c r="A111" t="s">
        <v>21</v>
      </c>
      <c r="H111" t="s">
        <v>22</v>
      </c>
      <c r="M111" t="s">
        <v>23</v>
      </c>
      <c r="R111" t="s">
        <v>19</v>
      </c>
    </row>
    <row r="112" spans="1:18">
      <c r="A112" s="7" t="s">
        <v>48</v>
      </c>
    </row>
    <row r="113" spans="1:18">
      <c r="B113">
        <v>2000</v>
      </c>
      <c r="C113">
        <v>2001</v>
      </c>
    </row>
    <row r="114" spans="1:18">
      <c r="A114" t="s">
        <v>1</v>
      </c>
      <c r="B114" s="1" t="e">
        <f>+#REF!+#REF!+#REF!</f>
        <v>#REF!</v>
      </c>
      <c r="C114" s="1" t="e">
        <f>+#REF!+#REF!+#REF!</f>
        <v>#REF!</v>
      </c>
      <c r="H114" t="s">
        <v>1</v>
      </c>
      <c r="M114" t="s">
        <v>1</v>
      </c>
      <c r="R114" t="s">
        <v>1</v>
      </c>
    </row>
    <row r="115" spans="1:18">
      <c r="A115" t="s">
        <v>2</v>
      </c>
      <c r="B115" s="1" t="e">
        <f>+#REF!+#REF!+#REF!</f>
        <v>#REF!</v>
      </c>
      <c r="C115" s="1" t="e">
        <f>+#REF!+#REF!+#REF!</f>
        <v>#REF!</v>
      </c>
      <c r="H115" t="s">
        <v>2</v>
      </c>
      <c r="M115" t="s">
        <v>2</v>
      </c>
      <c r="R115" t="s">
        <v>2</v>
      </c>
    </row>
    <row r="116" spans="1:18">
      <c r="A116" t="s">
        <v>3</v>
      </c>
      <c r="B116" s="1" t="e">
        <f>+#REF!+#REF!+#REF!</f>
        <v>#REF!</v>
      </c>
      <c r="C116" s="1" t="e">
        <f>+#REF!+#REF!+#REF!</f>
        <v>#REF!</v>
      </c>
      <c r="H116" t="s">
        <v>3</v>
      </c>
      <c r="M116" t="s">
        <v>3</v>
      </c>
      <c r="R116" t="s">
        <v>3</v>
      </c>
    </row>
    <row r="117" spans="1:18">
      <c r="A117" t="s">
        <v>4</v>
      </c>
      <c r="B117" s="1" t="e">
        <f>+#REF!+#REF!+#REF!</f>
        <v>#REF!</v>
      </c>
      <c r="C117" s="1" t="e">
        <f>+#REF!+#REF!+#REF!</f>
        <v>#REF!</v>
      </c>
      <c r="H117" t="s">
        <v>4</v>
      </c>
      <c r="M117" t="s">
        <v>4</v>
      </c>
      <c r="R117" t="s">
        <v>4</v>
      </c>
    </row>
    <row r="118" spans="1:18">
      <c r="A118" t="s">
        <v>5</v>
      </c>
      <c r="B118" s="1" t="e">
        <f>+#REF!+#REF!+#REF!</f>
        <v>#REF!</v>
      </c>
      <c r="C118" s="1" t="e">
        <f>+#REF!+#REF!+#REF!</f>
        <v>#REF!</v>
      </c>
      <c r="H118" t="s">
        <v>5</v>
      </c>
      <c r="M118" t="s">
        <v>5</v>
      </c>
      <c r="R118" t="s">
        <v>5</v>
      </c>
    </row>
    <row r="119" spans="1:18">
      <c r="A119" t="s">
        <v>6</v>
      </c>
      <c r="B119" s="1" t="e">
        <f>+#REF!+#REF!+#REF!</f>
        <v>#REF!</v>
      </c>
      <c r="C119" s="1" t="e">
        <f>+#REF!+#REF!+#REF!</f>
        <v>#REF!</v>
      </c>
      <c r="H119" t="s">
        <v>6</v>
      </c>
      <c r="M119" t="s">
        <v>6</v>
      </c>
      <c r="R119" t="s">
        <v>6</v>
      </c>
    </row>
    <row r="120" spans="1:18">
      <c r="A120" t="s">
        <v>7</v>
      </c>
      <c r="B120" s="1" t="e">
        <f>+#REF!+#REF!+#REF!</f>
        <v>#REF!</v>
      </c>
      <c r="C120" s="1" t="e">
        <f>+#REF!+#REF!+#REF!</f>
        <v>#REF!</v>
      </c>
      <c r="H120" t="s">
        <v>7</v>
      </c>
      <c r="M120" t="s">
        <v>7</v>
      </c>
      <c r="R120" t="s">
        <v>7</v>
      </c>
    </row>
    <row r="121" spans="1:18">
      <c r="A121" t="s">
        <v>8</v>
      </c>
      <c r="B121" s="1" t="e">
        <f>+#REF!+#REF!+#REF!</f>
        <v>#REF!</v>
      </c>
      <c r="C121" s="1" t="e">
        <f>+#REF!+#REF!+#REF!</f>
        <v>#REF!</v>
      </c>
      <c r="H121" t="s">
        <v>8</v>
      </c>
      <c r="M121" t="s">
        <v>8</v>
      </c>
      <c r="R121" t="s">
        <v>8</v>
      </c>
    </row>
    <row r="122" spans="1:18">
      <c r="A122" t="s">
        <v>9</v>
      </c>
      <c r="B122" s="1" t="e">
        <f>+#REF!+#REF!+#REF!</f>
        <v>#REF!</v>
      </c>
      <c r="C122" s="1" t="e">
        <f>+#REF!+#REF!+#REF!</f>
        <v>#REF!</v>
      </c>
      <c r="H122" t="s">
        <v>9</v>
      </c>
      <c r="M122" t="s">
        <v>9</v>
      </c>
      <c r="R122" t="s">
        <v>9</v>
      </c>
    </row>
    <row r="123" spans="1:18">
      <c r="A123" t="s">
        <v>10</v>
      </c>
      <c r="B123" s="1" t="e">
        <f>+#REF!+#REF!+#REF!</f>
        <v>#REF!</v>
      </c>
      <c r="C123" s="1" t="e">
        <f>+#REF!+#REF!+#REF!</f>
        <v>#REF!</v>
      </c>
      <c r="H123" t="s">
        <v>10</v>
      </c>
      <c r="M123" t="s">
        <v>10</v>
      </c>
      <c r="R123" t="s">
        <v>10</v>
      </c>
    </row>
    <row r="124" spans="1:18">
      <c r="A124" t="s">
        <v>11</v>
      </c>
      <c r="B124" s="1" t="e">
        <f>+#REF!+#REF!+#REF!</f>
        <v>#REF!</v>
      </c>
      <c r="C124" s="1" t="e">
        <f>+#REF!+#REF!+#REF!</f>
        <v>#REF!</v>
      </c>
      <c r="H124" t="s">
        <v>11</v>
      </c>
      <c r="M124" t="s">
        <v>11</v>
      </c>
      <c r="R124" t="s">
        <v>11</v>
      </c>
    </row>
    <row r="125" spans="1:18">
      <c r="A125" t="s">
        <v>12</v>
      </c>
      <c r="B125" s="1" t="e">
        <f>+#REF!+#REF!+#REF!</f>
        <v>#REF!</v>
      </c>
      <c r="C125" s="1" t="e">
        <f>+#REF!+#REF!+#REF!</f>
        <v>#REF!</v>
      </c>
      <c r="H125" t="s">
        <v>12</v>
      </c>
      <c r="M125" t="s">
        <v>12</v>
      </c>
      <c r="R125" t="s">
        <v>12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2:I166"/>
  <sheetViews>
    <sheetView topLeftCell="A55" workbookViewId="0">
      <selection activeCell="F31" sqref="F31"/>
    </sheetView>
  </sheetViews>
  <sheetFormatPr defaultRowHeight="12.75"/>
  <cols>
    <col min="1" max="1" width="10.42578125" customWidth="1"/>
    <col min="2" max="2" width="12.85546875" style="5" bestFit="1" customWidth="1"/>
    <col min="3" max="3" width="13.42578125" style="5" bestFit="1" customWidth="1"/>
    <col min="4" max="4" width="12.85546875" bestFit="1" customWidth="1"/>
    <col min="5" max="5" width="11.28515625" bestFit="1" customWidth="1"/>
    <col min="6" max="6" width="10.28515625" bestFit="1" customWidth="1"/>
    <col min="7" max="7" width="12.85546875" bestFit="1" customWidth="1"/>
  </cols>
  <sheetData>
    <row r="2" spans="1:5">
      <c r="A2" t="s">
        <v>26</v>
      </c>
    </row>
    <row r="4" spans="1:5">
      <c r="B4" s="5" t="s">
        <v>29</v>
      </c>
      <c r="C4" s="5" t="s">
        <v>146</v>
      </c>
      <c r="D4" t="s">
        <v>147</v>
      </c>
      <c r="E4" t="s">
        <v>70</v>
      </c>
    </row>
    <row r="5" spans="1:5">
      <c r="A5" s="21" t="s">
        <v>32</v>
      </c>
      <c r="B5" s="5">
        <v>0.42</v>
      </c>
      <c r="C5" s="5">
        <f>+I37</f>
        <v>0.5993951704633893</v>
      </c>
      <c r="D5" s="2">
        <f>+'Sal % Net Rev'!G35</f>
        <v>0.51280684291240408</v>
      </c>
      <c r="E5" s="2">
        <f>+'Sal % Net Rev'!F35</f>
        <v>0.52613726445625852</v>
      </c>
    </row>
    <row r="6" spans="1:5">
      <c r="A6" s="21" t="s">
        <v>33</v>
      </c>
      <c r="B6" s="5">
        <v>0.42</v>
      </c>
      <c r="C6" s="5">
        <f t="shared" ref="C6:C16" si="0">+I38</f>
        <v>0.54777315445240182</v>
      </c>
      <c r="D6" s="2">
        <f>+'Sal % Net Rev'!G36</f>
        <v>0.62094583296687555</v>
      </c>
      <c r="E6" s="2">
        <f>+'Sal % Net Rev'!F36</f>
        <v>0.5316030453379178</v>
      </c>
    </row>
    <row r="7" spans="1:5">
      <c r="A7" s="21" t="s">
        <v>34</v>
      </c>
      <c r="B7" s="5">
        <v>0.42</v>
      </c>
      <c r="C7" s="5">
        <f t="shared" si="0"/>
        <v>0.59049344144433624</v>
      </c>
      <c r="D7" s="2">
        <f>+'Sal % Net Rev'!G37</f>
        <v>0.61192531771429681</v>
      </c>
      <c r="E7" s="2">
        <f>+'Sal % Net Rev'!F37</f>
        <v>0.55341127379754851</v>
      </c>
    </row>
    <row r="8" spans="1:5">
      <c r="A8" s="21" t="s">
        <v>35</v>
      </c>
      <c r="B8" s="5">
        <v>0.42</v>
      </c>
      <c r="C8" s="5">
        <f t="shared" si="0"/>
        <v>0.57597874815956096</v>
      </c>
      <c r="D8" s="2">
        <f>+'Sal % Net Rev'!G38</f>
        <v>0.55295292996400069</v>
      </c>
      <c r="E8" s="2">
        <f>+'Sal % Net Rev'!F38</f>
        <v>0.58157210793356739</v>
      </c>
    </row>
    <row r="9" spans="1:5">
      <c r="A9" s="21" t="s">
        <v>5</v>
      </c>
      <c r="B9" s="5">
        <v>0.42</v>
      </c>
      <c r="C9" s="5">
        <f t="shared" si="0"/>
        <v>0.5836980626635514</v>
      </c>
      <c r="D9" s="2">
        <f>+'Sal % Net Rev'!G39</f>
        <v>0.63352445500253762</v>
      </c>
      <c r="E9" s="2">
        <f>+'Sal % Net Rev'!F39</f>
        <v>0.74870651727576687</v>
      </c>
    </row>
    <row r="10" spans="1:5">
      <c r="A10" s="21" t="s">
        <v>141</v>
      </c>
      <c r="B10" s="5">
        <v>0.42</v>
      </c>
      <c r="C10" s="5">
        <f t="shared" si="0"/>
        <v>0.5574370226282197</v>
      </c>
      <c r="D10" s="2">
        <f>+'Sal % Net Rev'!G40</f>
        <v>0.57829244138770652</v>
      </c>
      <c r="E10" s="2">
        <f>+'Sal % Net Rev'!F40</f>
        <v>0.61114968837530292</v>
      </c>
    </row>
    <row r="11" spans="1:5">
      <c r="A11" s="21" t="s">
        <v>142</v>
      </c>
      <c r="B11" s="5">
        <v>0.42</v>
      </c>
      <c r="C11" s="5">
        <f t="shared" si="0"/>
        <v>0.59456787979478121</v>
      </c>
      <c r="D11" s="2">
        <f>+'Sal % Net Rev'!G41</f>
        <v>0.71709953654912362</v>
      </c>
      <c r="E11" s="2">
        <f>+'Sal % Net Rev'!F41</f>
        <v>0.61637171978102478</v>
      </c>
    </row>
    <row r="12" spans="1:5">
      <c r="A12" s="21" t="s">
        <v>8</v>
      </c>
      <c r="B12" s="5">
        <v>0.42</v>
      </c>
      <c r="C12" s="5">
        <f t="shared" si="0"/>
        <v>0.58076435332025067</v>
      </c>
      <c r="D12" s="2">
        <f>+'Sal % Net Rev'!G42</f>
        <v>0.62567190466724909</v>
      </c>
      <c r="E12" s="2">
        <f>+'Sal % Net Rev'!F42</f>
        <v>0.56115316228611067</v>
      </c>
    </row>
    <row r="13" spans="1:5">
      <c r="A13" s="21" t="s">
        <v>143</v>
      </c>
      <c r="B13" s="5">
        <v>0.42</v>
      </c>
      <c r="C13" s="5">
        <f t="shared" si="0"/>
        <v>0.57398168335640709</v>
      </c>
      <c r="D13" s="2">
        <f>+'Sal % Net Rev'!G43</f>
        <v>0.73976099212490687</v>
      </c>
      <c r="E13" s="2">
        <f>+'Sal % Net Rev'!F43</f>
        <v>0.7431519694104568</v>
      </c>
    </row>
    <row r="14" spans="1:5">
      <c r="A14" s="21" t="s">
        <v>36</v>
      </c>
      <c r="B14" s="5">
        <v>0.42</v>
      </c>
      <c r="C14" s="5">
        <f t="shared" si="0"/>
        <v>0.59205284120625545</v>
      </c>
      <c r="D14" s="2">
        <f>+'Sal % Net Rev'!G44</f>
        <v>0.73429419090049874</v>
      </c>
      <c r="E14" s="2">
        <f>+'Sal % Net Rev'!F44</f>
        <v>0.53094124601506609</v>
      </c>
    </row>
    <row r="15" spans="1:5">
      <c r="A15" s="21" t="s">
        <v>37</v>
      </c>
      <c r="B15" s="5">
        <v>0.42</v>
      </c>
      <c r="C15" s="5">
        <f t="shared" si="0"/>
        <v>0.56527090245652534</v>
      </c>
      <c r="D15" s="2">
        <f>+'Sal % Net Rev'!G45</f>
        <v>0.63710104248391086</v>
      </c>
      <c r="E15" s="2">
        <f>+'Sal % Net Rev'!F45</f>
        <v>0.6594325989752774</v>
      </c>
    </row>
    <row r="16" spans="1:5">
      <c r="A16" s="21" t="s">
        <v>12</v>
      </c>
      <c r="B16" s="5">
        <v>0.42</v>
      </c>
      <c r="C16" s="5">
        <f t="shared" si="0"/>
        <v>0.54702641253172157</v>
      </c>
      <c r="D16" s="2">
        <f>+'Sal % Net Rev'!G46</f>
        <v>0.67577076073268083</v>
      </c>
      <c r="E16" s="2">
        <f>+'Sal % Net Rev'!F46</f>
        <v>0.58104893461216478</v>
      </c>
    </row>
    <row r="17" spans="1:1">
      <c r="A17" s="31"/>
    </row>
    <row r="18" spans="1:1">
      <c r="A18" s="4"/>
    </row>
    <row r="19" spans="1:1">
      <c r="A19" s="4"/>
    </row>
    <row r="20" spans="1:1" ht="15" customHeight="1">
      <c r="A20" s="4"/>
    </row>
    <row r="21" spans="1:1" ht="15" customHeight="1">
      <c r="A21" s="4"/>
    </row>
    <row r="22" spans="1:1" ht="15" customHeight="1">
      <c r="A22" s="4"/>
    </row>
    <row r="23" spans="1:1">
      <c r="A23" s="4"/>
    </row>
    <row r="36" spans="1:9" s="19" customFormat="1" ht="25.5">
      <c r="A36" s="42" t="s">
        <v>148</v>
      </c>
      <c r="B36" s="43"/>
      <c r="C36" s="43" t="s">
        <v>16</v>
      </c>
      <c r="D36" s="19" t="s">
        <v>22</v>
      </c>
      <c r="E36" s="19" t="s">
        <v>23</v>
      </c>
      <c r="F36" s="19" t="s">
        <v>19</v>
      </c>
      <c r="G36" s="19" t="s">
        <v>159</v>
      </c>
      <c r="I36" s="44" t="s">
        <v>160</v>
      </c>
    </row>
    <row r="37" spans="1:9">
      <c r="A37" t="s">
        <v>149</v>
      </c>
      <c r="C37" s="8">
        <v>3340776</v>
      </c>
      <c r="D37" s="8">
        <v>1675153</v>
      </c>
      <c r="E37" s="8">
        <v>292882</v>
      </c>
      <c r="F37" s="8">
        <v>34410</v>
      </c>
      <c r="G37" s="8">
        <f>+D37+E37+F37</f>
        <v>2002445</v>
      </c>
      <c r="I37" s="15">
        <f>+G37/C37</f>
        <v>0.5993951704633893</v>
      </c>
    </row>
    <row r="38" spans="1:9">
      <c r="A38" t="s">
        <v>150</v>
      </c>
      <c r="C38" s="8">
        <v>3296569</v>
      </c>
      <c r="D38" s="8">
        <v>1499585</v>
      </c>
      <c r="E38" s="8">
        <v>270924</v>
      </c>
      <c r="F38" s="8">
        <v>35263</v>
      </c>
      <c r="G38" s="8">
        <f t="shared" ref="G38:G48" si="1">+D38+E38+F38</f>
        <v>1805772</v>
      </c>
      <c r="I38" s="15">
        <f t="shared" ref="I38:I48" si="2">+G38/C38</f>
        <v>0.54777315445240182</v>
      </c>
    </row>
    <row r="39" spans="1:9">
      <c r="A39" t="s">
        <v>151</v>
      </c>
      <c r="C39" s="8">
        <v>3473097</v>
      </c>
      <c r="D39" s="8">
        <v>1730359</v>
      </c>
      <c r="E39" s="8">
        <v>288361</v>
      </c>
      <c r="F39" s="8">
        <v>32121</v>
      </c>
      <c r="G39" s="8">
        <f t="shared" si="1"/>
        <v>2050841</v>
      </c>
      <c r="I39" s="15">
        <f t="shared" si="2"/>
        <v>0.59049344144433624</v>
      </c>
    </row>
    <row r="40" spans="1:9">
      <c r="A40" t="s">
        <v>152</v>
      </c>
      <c r="C40" s="8">
        <v>3393212</v>
      </c>
      <c r="D40" s="8">
        <v>1640619</v>
      </c>
      <c r="E40" s="8">
        <v>281449</v>
      </c>
      <c r="F40" s="8">
        <v>32350</v>
      </c>
      <c r="G40" s="8">
        <f t="shared" si="1"/>
        <v>1954418</v>
      </c>
      <c r="I40" s="15">
        <f t="shared" si="2"/>
        <v>0.57597874815956096</v>
      </c>
    </row>
    <row r="41" spans="1:9">
      <c r="A41" t="s">
        <v>153</v>
      </c>
      <c r="C41" s="8">
        <v>3467183</v>
      </c>
      <c r="D41" s="8">
        <v>1696999</v>
      </c>
      <c r="E41" s="8">
        <v>292152</v>
      </c>
      <c r="F41" s="8">
        <v>34637</v>
      </c>
      <c r="G41" s="8">
        <f t="shared" si="1"/>
        <v>2023788</v>
      </c>
      <c r="I41" s="15">
        <f t="shared" si="2"/>
        <v>0.5836980626635514</v>
      </c>
    </row>
    <row r="42" spans="1:9">
      <c r="A42" t="s">
        <v>6</v>
      </c>
      <c r="C42" s="8">
        <v>3543098</v>
      </c>
      <c r="D42" s="8">
        <v>1661981</v>
      </c>
      <c r="E42" s="8">
        <v>280873</v>
      </c>
      <c r="F42" s="8">
        <v>32200</v>
      </c>
      <c r="G42" s="8">
        <f t="shared" si="1"/>
        <v>1975054</v>
      </c>
      <c r="I42" s="15">
        <f t="shared" si="2"/>
        <v>0.5574370226282197</v>
      </c>
    </row>
    <row r="43" spans="1:9">
      <c r="A43" t="s">
        <v>7</v>
      </c>
      <c r="C43" s="8">
        <v>3362849</v>
      </c>
      <c r="D43" s="8">
        <v>1684883</v>
      </c>
      <c r="E43" s="8">
        <v>282700</v>
      </c>
      <c r="F43" s="8">
        <v>31859</v>
      </c>
      <c r="G43" s="8">
        <f t="shared" si="1"/>
        <v>1999442</v>
      </c>
      <c r="I43" s="15">
        <f t="shared" si="2"/>
        <v>0.59456787979478121</v>
      </c>
    </row>
    <row r="44" spans="1:9">
      <c r="A44" t="s">
        <v>154</v>
      </c>
      <c r="C44" s="8">
        <v>3572170</v>
      </c>
      <c r="D44" s="8">
        <v>1744804</v>
      </c>
      <c r="E44" s="8">
        <v>296000</v>
      </c>
      <c r="F44" s="8">
        <v>33785</v>
      </c>
      <c r="G44" s="8">
        <f t="shared" si="1"/>
        <v>2074589</v>
      </c>
      <c r="I44" s="15">
        <f t="shared" si="2"/>
        <v>0.58076435332025067</v>
      </c>
    </row>
    <row r="45" spans="1:9">
      <c r="A45" t="s">
        <v>155</v>
      </c>
      <c r="C45" s="8">
        <v>3450523</v>
      </c>
      <c r="D45" s="8">
        <v>1667817</v>
      </c>
      <c r="E45" s="8">
        <v>281570</v>
      </c>
      <c r="F45" s="8">
        <v>31150</v>
      </c>
      <c r="G45" s="8">
        <f t="shared" si="1"/>
        <v>1980537</v>
      </c>
      <c r="I45" s="15">
        <f t="shared" si="2"/>
        <v>0.57398168335640709</v>
      </c>
    </row>
    <row r="46" spans="1:9">
      <c r="A46" t="s">
        <v>156</v>
      </c>
      <c r="C46" s="8">
        <v>3479860</v>
      </c>
      <c r="D46" s="8">
        <v>1741839</v>
      </c>
      <c r="E46" s="8">
        <v>286995</v>
      </c>
      <c r="F46" s="8">
        <v>31427</v>
      </c>
      <c r="G46" s="8">
        <f t="shared" si="1"/>
        <v>2060261</v>
      </c>
      <c r="I46" s="15">
        <f t="shared" si="2"/>
        <v>0.59205284120625545</v>
      </c>
    </row>
    <row r="47" spans="1:9">
      <c r="A47" t="s">
        <v>157</v>
      </c>
      <c r="C47" s="8">
        <v>3528724</v>
      </c>
      <c r="D47" s="8">
        <v>1681581</v>
      </c>
      <c r="E47" s="8">
        <v>282728</v>
      </c>
      <c r="F47" s="8">
        <v>30376</v>
      </c>
      <c r="G47" s="8">
        <f t="shared" si="1"/>
        <v>1994685</v>
      </c>
      <c r="I47" s="15">
        <f t="shared" si="2"/>
        <v>0.56527090245652534</v>
      </c>
    </row>
    <row r="48" spans="1:9">
      <c r="A48" t="s">
        <v>158</v>
      </c>
      <c r="C48" s="8">
        <v>3604804</v>
      </c>
      <c r="D48" s="8">
        <v>1652003</v>
      </c>
      <c r="E48" s="8">
        <v>289170</v>
      </c>
      <c r="F48" s="8">
        <v>30750</v>
      </c>
      <c r="G48" s="8">
        <f t="shared" si="1"/>
        <v>1971923</v>
      </c>
      <c r="I48" s="15">
        <f t="shared" si="2"/>
        <v>0.54702641253172157</v>
      </c>
    </row>
    <row r="49" spans="3:9">
      <c r="C49" s="8"/>
      <c r="D49" s="10"/>
      <c r="E49" s="10"/>
      <c r="F49" s="10"/>
      <c r="G49" s="10"/>
      <c r="I49" s="45"/>
    </row>
    <row r="50" spans="3:9">
      <c r="D50" s="10"/>
      <c r="E50" s="10"/>
      <c r="F50" s="10"/>
      <c r="G50" s="10"/>
    </row>
    <row r="65" spans="1:3">
      <c r="B65" s="5" t="s">
        <v>29</v>
      </c>
      <c r="C65" s="5" t="s">
        <v>30</v>
      </c>
    </row>
    <row r="66" spans="1:3">
      <c r="A66" s="6">
        <v>37346</v>
      </c>
      <c r="B66" s="5">
        <v>0.48</v>
      </c>
      <c r="C66" s="5" t="e">
        <f>+'Sal % Net Rev'!#REF!</f>
        <v>#REF!</v>
      </c>
    </row>
    <row r="67" spans="1:3">
      <c r="A67" s="6" t="s">
        <v>31</v>
      </c>
      <c r="B67" s="5">
        <v>0.48</v>
      </c>
      <c r="C67" s="5" t="e">
        <f>+'Sal % Net Rev'!#REF!</f>
        <v>#REF!</v>
      </c>
    </row>
    <row r="68" spans="1:3">
      <c r="A68" s="6" t="s">
        <v>31</v>
      </c>
      <c r="B68" s="5">
        <v>0.48</v>
      </c>
      <c r="C68" s="5" t="e">
        <f>+'Sal % Net Rev'!#REF!</f>
        <v>#REF!</v>
      </c>
    </row>
    <row r="69" spans="1:3">
      <c r="A69" s="6">
        <v>37437</v>
      </c>
      <c r="B69" s="5">
        <v>0.46</v>
      </c>
      <c r="C69" s="5" t="e">
        <f>+'Sal % Net Rev'!#REF!</f>
        <v>#REF!</v>
      </c>
    </row>
    <row r="70" spans="1:3">
      <c r="A70" s="6" t="s">
        <v>31</v>
      </c>
      <c r="B70" s="5">
        <v>0.46</v>
      </c>
      <c r="C70" s="5" t="e">
        <f>+'Sal % Net Rev'!#REF!</f>
        <v>#REF!</v>
      </c>
    </row>
    <row r="71" spans="1:3">
      <c r="A71" s="6" t="s">
        <v>31</v>
      </c>
      <c r="B71" s="5">
        <v>0.46</v>
      </c>
      <c r="C71" s="5" t="e">
        <f>+'Sal % Net Rev'!#REF!</f>
        <v>#REF!</v>
      </c>
    </row>
    <row r="72" spans="1:3">
      <c r="A72" s="6">
        <v>37529</v>
      </c>
      <c r="B72" s="5">
        <v>0.44</v>
      </c>
      <c r="C72" s="5">
        <v>0.54679999999999995</v>
      </c>
    </row>
    <row r="73" spans="1:3">
      <c r="A73" s="6" t="s">
        <v>31</v>
      </c>
      <c r="B73" s="5">
        <v>0.44</v>
      </c>
      <c r="C73" s="5">
        <v>0.45950000000000002</v>
      </c>
    </row>
    <row r="74" spans="1:3">
      <c r="A74" s="6" t="s">
        <v>31</v>
      </c>
      <c r="B74" s="5">
        <v>0.44</v>
      </c>
      <c r="C74" s="5">
        <v>0.52100000000000002</v>
      </c>
    </row>
    <row r="75" spans="1:3">
      <c r="A75" s="6">
        <v>37621</v>
      </c>
      <c r="B75" s="5">
        <v>0.42</v>
      </c>
      <c r="C75" s="5">
        <v>0.73299999999999998</v>
      </c>
    </row>
    <row r="76" spans="1:3">
      <c r="A76" s="6"/>
      <c r="B76" s="5">
        <v>0.42</v>
      </c>
      <c r="C76" s="5">
        <v>0.51349999999999996</v>
      </c>
    </row>
    <row r="77" spans="1:3">
      <c r="A77" s="6"/>
      <c r="B77" s="5">
        <v>0.42</v>
      </c>
      <c r="C77" s="5">
        <v>0.50060000000000004</v>
      </c>
    </row>
    <row r="78" spans="1:3">
      <c r="A78" s="6">
        <v>37711</v>
      </c>
      <c r="B78" s="5">
        <v>0.42</v>
      </c>
      <c r="C78" s="5">
        <v>0.45340000000000003</v>
      </c>
    </row>
    <row r="79" spans="1:3">
      <c r="B79" s="5">
        <v>0.42</v>
      </c>
      <c r="C79" s="5">
        <v>0.48859999999999998</v>
      </c>
    </row>
    <row r="80" spans="1:3">
      <c r="B80" s="5">
        <v>0.42</v>
      </c>
      <c r="C80" s="5">
        <v>0.50900000000000001</v>
      </c>
    </row>
    <row r="81" spans="1:3">
      <c r="A81" s="6">
        <v>37802</v>
      </c>
      <c r="B81" s="5">
        <v>0.42</v>
      </c>
      <c r="C81" s="5">
        <v>0.503</v>
      </c>
    </row>
    <row r="82" spans="1:3">
      <c r="B82" s="5">
        <v>0.42</v>
      </c>
      <c r="C82" s="5">
        <v>0.47789999999999999</v>
      </c>
    </row>
    <row r="83" spans="1:3">
      <c r="B83" s="5">
        <v>0.42</v>
      </c>
      <c r="C83" s="18">
        <f>(1338811+24039)/2905719</f>
        <v>0.46902332950983905</v>
      </c>
    </row>
    <row r="84" spans="1:3">
      <c r="A84" s="6">
        <v>37894</v>
      </c>
      <c r="B84" s="5">
        <v>0.42</v>
      </c>
      <c r="C84" s="5">
        <f>+'Sal % Net Rev'!D43</f>
        <v>0.5376488521423094</v>
      </c>
    </row>
    <row r="88" spans="1:3">
      <c r="B88" s="5" t="s">
        <v>29</v>
      </c>
      <c r="C88" s="5" t="s">
        <v>30</v>
      </c>
    </row>
    <row r="89" spans="1:3">
      <c r="A89" s="6">
        <v>37652</v>
      </c>
      <c r="B89" s="5">
        <v>0.42</v>
      </c>
      <c r="C89" s="5">
        <v>0.51349999999999996</v>
      </c>
    </row>
    <row r="90" spans="1:3">
      <c r="A90" s="6">
        <v>37680</v>
      </c>
      <c r="B90" s="5">
        <v>0.42</v>
      </c>
      <c r="C90" s="5">
        <v>0.50060000000000004</v>
      </c>
    </row>
    <row r="91" spans="1:3">
      <c r="A91" s="6">
        <v>37711</v>
      </c>
      <c r="B91" s="5">
        <v>0.42</v>
      </c>
      <c r="C91" s="5">
        <v>0.45340000000000003</v>
      </c>
    </row>
    <row r="92" spans="1:3">
      <c r="A92" s="6"/>
    </row>
    <row r="93" spans="1:3">
      <c r="A93" s="6"/>
    </row>
    <row r="94" spans="1:3">
      <c r="A94" s="6"/>
      <c r="B94" s="5" t="s">
        <v>29</v>
      </c>
      <c r="C94" s="5" t="s">
        <v>30</v>
      </c>
    </row>
    <row r="95" spans="1:3">
      <c r="A95" s="6">
        <v>37652</v>
      </c>
      <c r="B95" s="5">
        <v>0.42</v>
      </c>
      <c r="C95" s="5">
        <v>0.51349999999999996</v>
      </c>
    </row>
    <row r="96" spans="1:3">
      <c r="A96" s="6">
        <v>37680</v>
      </c>
      <c r="B96" s="5">
        <v>0.42</v>
      </c>
      <c r="C96" s="5">
        <v>0.50060000000000004</v>
      </c>
    </row>
    <row r="97" spans="1:3">
      <c r="A97" s="6">
        <v>37711</v>
      </c>
      <c r="B97" s="5">
        <v>0.42</v>
      </c>
      <c r="C97" s="5">
        <v>0.45340000000000003</v>
      </c>
    </row>
    <row r="98" spans="1:3">
      <c r="A98" s="4"/>
      <c r="B98" s="5" t="s">
        <v>63</v>
      </c>
      <c r="C98" s="5" t="s">
        <v>30</v>
      </c>
    </row>
    <row r="99" spans="1:3">
      <c r="A99" s="6">
        <v>38383</v>
      </c>
      <c r="B99" s="5">
        <f>+C135/B135</f>
        <v>0.41271199558905802</v>
      </c>
      <c r="C99" s="5">
        <f>+'Sal % Net Rev'!F35</f>
        <v>0.52613726445625852</v>
      </c>
    </row>
    <row r="100" spans="1:3">
      <c r="A100" s="6">
        <v>38411</v>
      </c>
      <c r="B100" s="5">
        <f t="shared" ref="B100:B112" si="3">+C136/B136</f>
        <v>0.53221284894573839</v>
      </c>
      <c r="C100" s="5">
        <f>+'Sal % Net Rev'!F36</f>
        <v>0.5316030453379178</v>
      </c>
    </row>
    <row r="101" spans="1:3">
      <c r="A101" s="6">
        <v>38442</v>
      </c>
      <c r="B101" s="5">
        <f t="shared" si="3"/>
        <v>0.53699613962573156</v>
      </c>
      <c r="C101" s="5">
        <f>+'Sal % Net Rev'!F37</f>
        <v>0.55341127379754851</v>
      </c>
    </row>
    <row r="102" spans="1:3">
      <c r="A102" s="6">
        <v>38472</v>
      </c>
      <c r="B102" s="5">
        <f t="shared" si="3"/>
        <v>0.52572820190011837</v>
      </c>
      <c r="C102" s="5">
        <f>+'Sal % Net Rev'!F38</f>
        <v>0.58157210793356739</v>
      </c>
    </row>
    <row r="103" spans="1:3">
      <c r="A103" s="6">
        <v>38503</v>
      </c>
      <c r="B103" s="5">
        <f t="shared" si="3"/>
        <v>0.5334613571004897</v>
      </c>
      <c r="C103" s="5">
        <f>+'Sal % Net Rev'!F39</f>
        <v>0.74870651727576687</v>
      </c>
    </row>
    <row r="104" spans="1:3">
      <c r="A104" s="6">
        <v>38533</v>
      </c>
      <c r="B104" s="5">
        <f t="shared" si="3"/>
        <v>0.5308414022704987</v>
      </c>
      <c r="C104" s="5">
        <f>+'Sal % Net Rev'!F40</f>
        <v>0.61114968837530292</v>
      </c>
    </row>
    <row r="105" spans="1:3">
      <c r="A105" s="6">
        <v>38564</v>
      </c>
      <c r="B105" s="5">
        <f t="shared" si="3"/>
        <v>0.51453575453699452</v>
      </c>
      <c r="C105" s="5">
        <f>+'Sal % Net Rev'!F41</f>
        <v>0.61637171978102478</v>
      </c>
    </row>
    <row r="106" spans="1:3">
      <c r="A106" s="6">
        <v>38595</v>
      </c>
      <c r="B106" s="5">
        <f t="shared" si="3"/>
        <v>0.47516841517122022</v>
      </c>
      <c r="C106" s="5">
        <f>+'Sal % Net Rev'!F42</f>
        <v>0.56115316228611067</v>
      </c>
    </row>
    <row r="107" spans="1:3">
      <c r="A107" s="6">
        <v>38625</v>
      </c>
      <c r="B107" s="5">
        <f t="shared" si="3"/>
        <v>0.53457498217334554</v>
      </c>
      <c r="C107" s="5">
        <f>+'Sal % Net Rev'!F43</f>
        <v>0.7431519694104568</v>
      </c>
    </row>
    <row r="108" spans="1:3">
      <c r="A108" s="6">
        <v>38656</v>
      </c>
      <c r="B108" s="5">
        <f t="shared" si="3"/>
        <v>0.47196772835552908</v>
      </c>
      <c r="C108" s="5">
        <f>+'Sal % Net Rev'!F44</f>
        <v>0.53094124601506609</v>
      </c>
    </row>
    <row r="109" spans="1:3">
      <c r="A109" s="6">
        <v>38686</v>
      </c>
      <c r="B109" s="5">
        <f t="shared" si="3"/>
        <v>0.45562443965749011</v>
      </c>
      <c r="C109" s="5">
        <f>+'Sal % Net Rev'!F45</f>
        <v>0.6594325989752774</v>
      </c>
    </row>
    <row r="110" spans="1:3">
      <c r="A110" s="6">
        <v>38716</v>
      </c>
      <c r="B110" s="5">
        <f t="shared" si="3"/>
        <v>0.52157742349816993</v>
      </c>
      <c r="C110" s="5">
        <f>+'Sal % Net Rev'!F46</f>
        <v>0.58104893461216478</v>
      </c>
    </row>
    <row r="111" spans="1:3">
      <c r="A111" s="6">
        <v>38748</v>
      </c>
      <c r="B111" s="5">
        <f t="shared" si="3"/>
        <v>0.54182780245993245</v>
      </c>
      <c r="C111" s="5">
        <f>+'Sal % Net Rev'!G35</f>
        <v>0.51280684291240408</v>
      </c>
    </row>
    <row r="112" spans="1:3">
      <c r="A112" s="6">
        <v>38776</v>
      </c>
      <c r="B112" s="5">
        <f t="shared" si="3"/>
        <v>0.47164503311814371</v>
      </c>
      <c r="C112" s="5">
        <f>+'Sal % Net Rev'!G36</f>
        <v>0.62094583296687555</v>
      </c>
    </row>
    <row r="113" spans="1:1">
      <c r="A113" s="6"/>
    </row>
    <row r="114" spans="1:1">
      <c r="A114" s="6"/>
    </row>
    <row r="115" spans="1:1">
      <c r="A115" s="6"/>
    </row>
    <row r="116" spans="1:1">
      <c r="A116" s="6"/>
    </row>
    <row r="117" spans="1:1">
      <c r="A117" s="6"/>
    </row>
    <row r="118" spans="1:1">
      <c r="A118" s="6"/>
    </row>
    <row r="119" spans="1:1">
      <c r="A119" s="6"/>
    </row>
    <row r="120" spans="1:1">
      <c r="A120" s="6"/>
    </row>
    <row r="121" spans="1:1">
      <c r="A121" s="6"/>
    </row>
    <row r="122" spans="1:1">
      <c r="A122" s="6"/>
    </row>
    <row r="123" spans="1:1">
      <c r="A123" s="6"/>
    </row>
    <row r="124" spans="1:1">
      <c r="A124" s="6"/>
    </row>
    <row r="125" spans="1:1">
      <c r="A125" s="6"/>
    </row>
    <row r="126" spans="1:1">
      <c r="A126" s="6"/>
    </row>
    <row r="127" spans="1:1">
      <c r="A127" s="6"/>
    </row>
    <row r="128" spans="1:1">
      <c r="A128" s="6"/>
    </row>
    <row r="129" spans="1:3">
      <c r="A129" s="6"/>
    </row>
    <row r="130" spans="1:3">
      <c r="A130" s="6"/>
    </row>
    <row r="131" spans="1:3">
      <c r="A131" s="6"/>
    </row>
    <row r="132" spans="1:3">
      <c r="A132" s="6"/>
    </row>
    <row r="133" spans="1:3">
      <c r="A133" s="6"/>
      <c r="B133" s="5" t="s">
        <v>66</v>
      </c>
    </row>
    <row r="134" spans="1:3">
      <c r="A134" s="6"/>
      <c r="B134" s="5" t="s">
        <v>56</v>
      </c>
      <c r="C134" s="5" t="s">
        <v>67</v>
      </c>
    </row>
    <row r="135" spans="1:3">
      <c r="A135" s="6">
        <v>38383</v>
      </c>
      <c r="B135" s="8">
        <v>3202944</v>
      </c>
      <c r="C135" s="8">
        <f>1318270+362341%</f>
        <v>1321893.4099999999</v>
      </c>
    </row>
    <row r="136" spans="1:3">
      <c r="A136" s="6">
        <v>38411</v>
      </c>
      <c r="B136" s="8">
        <v>3017088</v>
      </c>
      <c r="C136" s="8">
        <f>1268283+337450</f>
        <v>1605733</v>
      </c>
    </row>
    <row r="137" spans="1:3">
      <c r="A137" s="6">
        <v>38442</v>
      </c>
      <c r="B137" s="8">
        <v>3103067</v>
      </c>
      <c r="C137" s="8">
        <f>1322577+343758</f>
        <v>1666335</v>
      </c>
    </row>
    <row r="138" spans="1:3">
      <c r="A138" s="6">
        <v>38472</v>
      </c>
      <c r="B138" s="8">
        <v>3148646</v>
      </c>
      <c r="C138" s="8">
        <f>1313215+342117</f>
        <v>1655332</v>
      </c>
    </row>
    <row r="139" spans="1:3">
      <c r="A139" s="6">
        <v>38503</v>
      </c>
      <c r="B139" s="8">
        <v>3157747</v>
      </c>
      <c r="C139" s="8">
        <f>1334983+349553</f>
        <v>1684536</v>
      </c>
    </row>
    <row r="140" spans="1:3">
      <c r="A140" s="6">
        <v>38533</v>
      </c>
      <c r="B140" s="8">
        <v>3102226</v>
      </c>
      <c r="C140" s="8">
        <f>1305265+341525</f>
        <v>1646790</v>
      </c>
    </row>
    <row r="141" spans="1:3">
      <c r="A141" s="6">
        <v>38564</v>
      </c>
      <c r="B141" s="8">
        <v>3258104</v>
      </c>
      <c r="C141" s="8">
        <f>1332139+344272</f>
        <v>1676411</v>
      </c>
    </row>
    <row r="142" spans="1:3">
      <c r="A142" s="6">
        <v>38595</v>
      </c>
      <c r="B142" s="8">
        <v>3522248</v>
      </c>
      <c r="C142" s="8">
        <f>1329516+344145</f>
        <v>1673661</v>
      </c>
    </row>
    <row r="143" spans="1:3">
      <c r="A143" s="6">
        <v>38625</v>
      </c>
      <c r="B143" s="8">
        <v>3093682</v>
      </c>
      <c r="C143" s="8">
        <f>1308656+345149</f>
        <v>1653805</v>
      </c>
    </row>
    <row r="144" spans="1:3">
      <c r="A144" s="6">
        <v>38656</v>
      </c>
      <c r="B144" s="8">
        <v>3548874</v>
      </c>
      <c r="C144" s="8">
        <f>1331215+343739</f>
        <v>1674954</v>
      </c>
    </row>
    <row r="145" spans="1:3">
      <c r="A145" s="6">
        <v>38686</v>
      </c>
      <c r="B145" s="8">
        <v>3645092</v>
      </c>
      <c r="C145" s="8">
        <f>1318821+341972</f>
        <v>1660793</v>
      </c>
    </row>
    <row r="146" spans="1:3">
      <c r="A146" s="6">
        <v>38716</v>
      </c>
      <c r="B146" s="8">
        <v>3252798</v>
      </c>
      <c r="C146" s="8">
        <f>1346801+349785</f>
        <v>1696586</v>
      </c>
    </row>
    <row r="147" spans="1:3">
      <c r="A147" s="6">
        <v>38748</v>
      </c>
      <c r="B147" s="8">
        <v>3530666</v>
      </c>
      <c r="C147" s="8">
        <f>1614715+298298</f>
        <v>1913013</v>
      </c>
    </row>
    <row r="148" spans="1:3">
      <c r="A148" s="6">
        <v>38776</v>
      </c>
      <c r="B148" s="8">
        <v>3810902</v>
      </c>
      <c r="C148" s="8">
        <f>1508196+289197</f>
        <v>1797393</v>
      </c>
    </row>
    <row r="149" spans="1:3">
      <c r="A149" s="6"/>
    </row>
    <row r="150" spans="1:3">
      <c r="A150" s="6"/>
    </row>
    <row r="151" spans="1:3">
      <c r="A151" s="6"/>
    </row>
    <row r="152" spans="1:3">
      <c r="A152" s="6"/>
    </row>
    <row r="153" spans="1:3">
      <c r="A153" s="6"/>
    </row>
    <row r="154" spans="1:3">
      <c r="A154" s="6"/>
    </row>
    <row r="155" spans="1:3">
      <c r="A155" s="6"/>
    </row>
    <row r="156" spans="1:3">
      <c r="A156" s="6"/>
    </row>
    <row r="157" spans="1:3">
      <c r="A157" s="6"/>
    </row>
    <row r="158" spans="1:3">
      <c r="A158" s="6"/>
    </row>
    <row r="159" spans="1:3">
      <c r="A159" s="6"/>
    </row>
    <row r="160" spans="1:3">
      <c r="A160" s="6"/>
    </row>
    <row r="161" spans="1:1">
      <c r="A161" s="6"/>
    </row>
    <row r="162" spans="1:1">
      <c r="A162" s="6"/>
    </row>
    <row r="163" spans="1:1">
      <c r="A163" s="6"/>
    </row>
    <row r="164" spans="1:1">
      <c r="A164" s="6"/>
    </row>
    <row r="165" spans="1:1">
      <c r="A165" s="6"/>
    </row>
    <row r="166" spans="1:1">
      <c r="A166" s="6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2:N143"/>
  <sheetViews>
    <sheetView workbookViewId="0">
      <selection activeCell="I143" sqref="I143"/>
    </sheetView>
  </sheetViews>
  <sheetFormatPr defaultRowHeight="12.75"/>
  <cols>
    <col min="1" max="1" width="10.140625" customWidth="1"/>
    <col min="2" max="2" width="11.42578125" bestFit="1" customWidth="1"/>
    <col min="3" max="3" width="12" bestFit="1" customWidth="1"/>
    <col min="4" max="4" width="10.85546875" customWidth="1"/>
    <col min="9" max="9" width="12.85546875" bestFit="1" customWidth="1"/>
  </cols>
  <sheetData>
    <row r="2" spans="1:5">
      <c r="A2" t="s">
        <v>27</v>
      </c>
    </row>
    <row r="4" spans="1:5">
      <c r="A4" s="6"/>
      <c r="C4" t="s">
        <v>173</v>
      </c>
      <c r="D4" t="s">
        <v>147</v>
      </c>
      <c r="E4" t="s">
        <v>70</v>
      </c>
    </row>
    <row r="5" spans="1:5">
      <c r="A5" s="41" t="s">
        <v>32</v>
      </c>
      <c r="B5" s="22"/>
      <c r="C5" s="30">
        <f t="shared" ref="C5:C16" si="0">C132/B132</f>
        <v>0.12172039248275962</v>
      </c>
      <c r="D5" s="30">
        <f t="shared" ref="D5:D16" si="1">+C120/B120</f>
        <v>0.12107309214443315</v>
      </c>
      <c r="E5" s="30">
        <f t="shared" ref="E5:E16" si="2">+C108/B108</f>
        <v>0.16703948410057518</v>
      </c>
    </row>
    <row r="6" spans="1:5">
      <c r="A6" s="41" t="s">
        <v>33</v>
      </c>
      <c r="B6" s="22"/>
      <c r="C6" s="30">
        <f t="shared" si="0"/>
        <v>0.10627612879124984</v>
      </c>
      <c r="D6" s="30">
        <f t="shared" si="1"/>
        <v>0.10863801108883028</v>
      </c>
      <c r="E6" s="30">
        <f t="shared" si="2"/>
        <v>0.1567069373046544</v>
      </c>
    </row>
    <row r="7" spans="1:5">
      <c r="A7" s="41" t="s">
        <v>34</v>
      </c>
      <c r="B7" s="22"/>
      <c r="C7" s="30">
        <f t="shared" si="0"/>
        <v>0.13567217805210344</v>
      </c>
      <c r="D7" s="30">
        <f t="shared" si="1"/>
        <v>0.15434235444280045</v>
      </c>
      <c r="E7" s="30">
        <f t="shared" si="2"/>
        <v>0.17033804568380945</v>
      </c>
    </row>
    <row r="8" spans="1:5">
      <c r="A8" s="41" t="s">
        <v>35</v>
      </c>
      <c r="B8" s="22"/>
      <c r="C8" s="30">
        <f t="shared" si="0"/>
        <v>0.1579595793133611</v>
      </c>
      <c r="D8" s="30">
        <f t="shared" si="1"/>
        <v>0.11897550826020645</v>
      </c>
      <c r="E8" s="30">
        <f t="shared" si="2"/>
        <v>0.13246675218036078</v>
      </c>
    </row>
    <row r="9" spans="1:5">
      <c r="A9" s="41" t="s">
        <v>5</v>
      </c>
      <c r="B9" s="22"/>
      <c r="C9" s="30">
        <f t="shared" si="0"/>
        <v>0.1167131548380443</v>
      </c>
      <c r="D9" s="30">
        <f t="shared" si="1"/>
        <v>0.12809968677442274</v>
      </c>
      <c r="E9" s="30">
        <f t="shared" si="2"/>
        <v>0.15404049542553105</v>
      </c>
    </row>
    <row r="10" spans="1:5">
      <c r="A10" s="41" t="s">
        <v>141</v>
      </c>
      <c r="B10" s="22"/>
      <c r="C10" s="30">
        <f t="shared" si="0"/>
        <v>0.14507857939671681</v>
      </c>
      <c r="D10" s="30">
        <f t="shared" si="1"/>
        <v>0.14128697004440566</v>
      </c>
      <c r="E10" s="30">
        <f t="shared" si="2"/>
        <v>0.17320155276837776</v>
      </c>
    </row>
    <row r="11" spans="1:5">
      <c r="A11" s="41" t="s">
        <v>142</v>
      </c>
      <c r="B11" s="22"/>
      <c r="C11" s="30">
        <f t="shared" si="0"/>
        <v>0.14138496943307355</v>
      </c>
      <c r="D11" s="30">
        <f t="shared" si="1"/>
        <v>0.16059140743048059</v>
      </c>
      <c r="E11" s="30">
        <f t="shared" si="2"/>
        <v>0.11938654914033597</v>
      </c>
    </row>
    <row r="12" spans="1:5">
      <c r="A12" s="41" t="s">
        <v>8</v>
      </c>
      <c r="B12" s="22"/>
      <c r="C12" s="30">
        <f t="shared" si="0"/>
        <v>0.15551673432453153</v>
      </c>
      <c r="D12" s="30">
        <f t="shared" si="1"/>
        <v>0.1617894532570234</v>
      </c>
      <c r="E12" s="30">
        <f t="shared" si="2"/>
        <v>0.14596205828336781</v>
      </c>
    </row>
    <row r="13" spans="1:5">
      <c r="A13" s="41" t="s">
        <v>143</v>
      </c>
      <c r="B13" s="22"/>
      <c r="C13" s="30">
        <f t="shared" si="0"/>
        <v>0.1836382518817371</v>
      </c>
      <c r="D13" s="30">
        <f t="shared" si="1"/>
        <v>0.17665207768218202</v>
      </c>
      <c r="E13" s="30">
        <f t="shared" si="2"/>
        <v>0.13439554751431712</v>
      </c>
    </row>
    <row r="14" spans="1:5">
      <c r="A14" s="41" t="s">
        <v>36</v>
      </c>
      <c r="B14" s="22"/>
      <c r="C14" s="30">
        <f t="shared" si="0"/>
        <v>0.15443061119019677</v>
      </c>
      <c r="D14" s="30">
        <f t="shared" si="1"/>
        <v>0.16635294760470914</v>
      </c>
      <c r="E14" s="30">
        <f t="shared" si="2"/>
        <v>0.11667755098462901</v>
      </c>
    </row>
    <row r="15" spans="1:5">
      <c r="A15" s="41" t="s">
        <v>37</v>
      </c>
      <c r="B15" s="22"/>
      <c r="C15" s="30">
        <f t="shared" si="0"/>
        <v>0.19618474527338139</v>
      </c>
      <c r="D15" s="30">
        <f t="shared" si="1"/>
        <v>0.18120563512482923</v>
      </c>
      <c r="E15" s="30">
        <f t="shared" si="2"/>
        <v>0.1579628090190805</v>
      </c>
    </row>
    <row r="16" spans="1:5">
      <c r="A16" s="41" t="s">
        <v>12</v>
      </c>
      <c r="B16" s="22"/>
      <c r="C16" s="30">
        <f t="shared" si="0"/>
        <v>0.17690641800352871</v>
      </c>
      <c r="D16" s="30">
        <f t="shared" si="1"/>
        <v>0.14957741303865679</v>
      </c>
      <c r="E16" s="30">
        <f t="shared" si="2"/>
        <v>0.12876141921159223</v>
      </c>
    </row>
    <row r="17" spans="1:3">
      <c r="A17" s="6"/>
      <c r="B17" s="18"/>
      <c r="C17" s="5"/>
    </row>
    <row r="18" spans="1:3">
      <c r="A18" s="6"/>
      <c r="B18" s="18"/>
      <c r="C18" s="5"/>
    </row>
    <row r="19" spans="1:3">
      <c r="A19" s="6"/>
      <c r="B19" s="18"/>
      <c r="C19" s="5"/>
    </row>
    <row r="20" spans="1:3">
      <c r="A20" s="6"/>
      <c r="B20" s="18"/>
      <c r="C20" s="5"/>
    </row>
    <row r="21" spans="1:3">
      <c r="A21" s="6"/>
      <c r="B21" s="18"/>
      <c r="C21" s="5"/>
    </row>
    <row r="22" spans="1:3">
      <c r="A22" s="6"/>
      <c r="B22" s="18"/>
      <c r="C22" s="5"/>
    </row>
    <row r="23" spans="1:3">
      <c r="A23" s="6"/>
      <c r="B23" s="18"/>
      <c r="C23" s="5"/>
    </row>
    <row r="24" spans="1:3">
      <c r="A24" s="6"/>
      <c r="B24" s="18"/>
      <c r="C24" s="5"/>
    </row>
    <row r="25" spans="1:3">
      <c r="A25" s="6"/>
      <c r="B25" s="18"/>
      <c r="C25" s="5"/>
    </row>
    <row r="26" spans="1:3">
      <c r="A26" s="6"/>
      <c r="B26" s="18"/>
      <c r="C26" s="5"/>
    </row>
    <row r="27" spans="1:3">
      <c r="A27" s="4"/>
      <c r="B27" s="18"/>
      <c r="C27" s="5"/>
    </row>
    <row r="28" spans="1:3">
      <c r="A28" s="6"/>
      <c r="B28" s="5"/>
      <c r="C28" s="5"/>
    </row>
    <row r="29" spans="1:3">
      <c r="A29" s="6"/>
      <c r="B29" s="5"/>
      <c r="C29" s="5"/>
    </row>
    <row r="30" spans="1:3">
      <c r="A30" s="6"/>
      <c r="B30" s="5"/>
      <c r="C30" s="5"/>
    </row>
    <row r="31" spans="1:3">
      <c r="A31" s="6"/>
      <c r="B31" s="5"/>
      <c r="C31" s="5"/>
    </row>
    <row r="32" spans="1:3">
      <c r="A32" s="6"/>
      <c r="B32" s="5"/>
      <c r="C32" s="5"/>
    </row>
    <row r="33" spans="1:3">
      <c r="A33" s="6"/>
      <c r="B33" s="5"/>
      <c r="C33" s="5"/>
    </row>
    <row r="34" spans="1:3">
      <c r="A34" s="6"/>
      <c r="B34" s="5"/>
      <c r="C34" s="5"/>
    </row>
    <row r="35" spans="1:3">
      <c r="A35" s="6"/>
      <c r="B35" s="5"/>
      <c r="C35" s="5"/>
    </row>
    <row r="36" spans="1:3">
      <c r="A36" s="6"/>
      <c r="B36" s="5"/>
      <c r="C36" s="5"/>
    </row>
    <row r="37" spans="1:3">
      <c r="A37" s="6"/>
      <c r="B37" s="5"/>
      <c r="C37" s="5"/>
    </row>
    <row r="38" spans="1:3">
      <c r="A38" s="6"/>
      <c r="B38" s="5"/>
      <c r="C38" s="5"/>
    </row>
    <row r="39" spans="1:3">
      <c r="A39" s="6"/>
      <c r="B39" s="5"/>
      <c r="C39" s="5"/>
    </row>
    <row r="40" spans="1:3">
      <c r="A40" s="6"/>
      <c r="B40" s="5"/>
      <c r="C40" s="5"/>
    </row>
    <row r="41" spans="1:3">
      <c r="A41" s="6"/>
      <c r="B41" s="5"/>
      <c r="C41" s="5"/>
    </row>
    <row r="42" spans="1:3">
      <c r="A42" s="6"/>
      <c r="B42" s="5"/>
      <c r="C42" s="5"/>
    </row>
    <row r="43" spans="1:3">
      <c r="A43" s="6"/>
      <c r="B43" s="5"/>
      <c r="C43" s="5"/>
    </row>
    <row r="44" spans="1:3">
      <c r="A44" s="6"/>
      <c r="B44" s="5"/>
      <c r="C44" s="5"/>
    </row>
    <row r="45" spans="1:3">
      <c r="A45" s="6"/>
      <c r="B45" s="5"/>
      <c r="C45" s="5"/>
    </row>
    <row r="46" spans="1:3">
      <c r="A46" s="6"/>
      <c r="B46" s="5"/>
      <c r="C46" s="5"/>
    </row>
    <row r="47" spans="1:3">
      <c r="A47" s="6"/>
      <c r="B47" s="5"/>
      <c r="C47" s="5"/>
    </row>
    <row r="48" spans="1:3">
      <c r="A48" s="6"/>
      <c r="B48" s="5"/>
      <c r="C48" s="5"/>
    </row>
    <row r="49" spans="1:3">
      <c r="A49" s="6"/>
      <c r="B49" s="5"/>
      <c r="C49" s="5"/>
    </row>
    <row r="50" spans="1:3">
      <c r="A50" s="6"/>
      <c r="B50" s="5"/>
      <c r="C50" s="5"/>
    </row>
    <row r="51" spans="1:3">
      <c r="A51" s="6"/>
      <c r="B51" s="5"/>
      <c r="C51" s="5"/>
    </row>
    <row r="52" spans="1:3">
      <c r="A52" s="6"/>
      <c r="B52" s="5"/>
      <c r="C52" s="5"/>
    </row>
    <row r="53" spans="1:3">
      <c r="A53" s="6"/>
      <c r="B53" s="5"/>
      <c r="C53" s="5"/>
    </row>
    <row r="54" spans="1:3">
      <c r="A54" s="6"/>
      <c r="B54" s="5"/>
      <c r="C54" s="5"/>
    </row>
    <row r="55" spans="1:3">
      <c r="A55" s="6"/>
      <c r="B55" s="5"/>
      <c r="C55" s="5"/>
    </row>
    <row r="56" spans="1:3">
      <c r="A56" s="6"/>
      <c r="B56" s="5"/>
      <c r="C56" s="5"/>
    </row>
    <row r="57" spans="1:3">
      <c r="A57" s="6"/>
      <c r="B57" s="5"/>
      <c r="C57" s="5"/>
    </row>
    <row r="58" spans="1:3">
      <c r="A58" s="6"/>
      <c r="B58" s="5"/>
      <c r="C58" s="5"/>
    </row>
    <row r="59" spans="1:3">
      <c r="A59" s="6"/>
      <c r="B59" s="5"/>
      <c r="C59" s="5"/>
    </row>
    <row r="60" spans="1:3">
      <c r="A60" s="6"/>
      <c r="B60" s="5"/>
      <c r="C60" s="5"/>
    </row>
    <row r="61" spans="1:3">
      <c r="A61" s="6"/>
      <c r="B61" s="5"/>
      <c r="C61" s="5"/>
    </row>
    <row r="62" spans="1:3">
      <c r="A62" s="6"/>
      <c r="B62" s="5"/>
      <c r="C62" s="5"/>
    </row>
    <row r="63" spans="1:3">
      <c r="A63" s="6"/>
      <c r="B63" s="5"/>
      <c r="C63" s="5"/>
    </row>
    <row r="64" spans="1:3">
      <c r="A64" s="6"/>
      <c r="B64" s="5"/>
      <c r="C64" s="5"/>
    </row>
    <row r="65" spans="1:3">
      <c r="A65" s="6"/>
      <c r="B65" s="5"/>
      <c r="C65" s="5"/>
    </row>
    <row r="66" spans="1:3">
      <c r="A66" s="6"/>
      <c r="B66" s="5"/>
      <c r="C66" s="5"/>
    </row>
    <row r="67" spans="1:3">
      <c r="A67" s="6"/>
      <c r="B67" t="s">
        <v>63</v>
      </c>
      <c r="C67" t="s">
        <v>30</v>
      </c>
    </row>
    <row r="68" spans="1:3" s="23" customFormat="1" hidden="1">
      <c r="A68" s="21">
        <v>37894</v>
      </c>
      <c r="B68" s="22">
        <v>0.12</v>
      </c>
      <c r="C68" s="22" t="e">
        <f>+#REF!/#REF!</f>
        <v>#REF!</v>
      </c>
    </row>
    <row r="69" spans="1:3" s="23" customFormat="1" hidden="1">
      <c r="A69" s="21">
        <v>37925</v>
      </c>
      <c r="B69" s="22">
        <v>0.12</v>
      </c>
      <c r="C69" s="22" t="e">
        <f>+#REF!/#REF!</f>
        <v>#REF!</v>
      </c>
    </row>
    <row r="70" spans="1:3" s="23" customFormat="1" hidden="1">
      <c r="A70" s="21">
        <v>37955</v>
      </c>
      <c r="B70" s="22">
        <v>0.12</v>
      </c>
      <c r="C70" s="22" t="e">
        <f>+#REF!/#REF!</f>
        <v>#REF!</v>
      </c>
    </row>
    <row r="71" spans="1:3" s="23" customFormat="1" hidden="1">
      <c r="A71" s="21">
        <v>37986</v>
      </c>
      <c r="B71" s="22">
        <v>0.12</v>
      </c>
      <c r="C71" s="22" t="e">
        <f>+#REF!/#REF!</f>
        <v>#REF!</v>
      </c>
    </row>
    <row r="72" spans="1:3" hidden="1">
      <c r="A72" s="6">
        <v>38017</v>
      </c>
      <c r="B72" s="5">
        <v>0.12</v>
      </c>
      <c r="C72" s="5" t="e">
        <f>+#REF!/#REF!</f>
        <v>#REF!</v>
      </c>
    </row>
    <row r="73" spans="1:3" hidden="1">
      <c r="A73" s="6">
        <v>38046</v>
      </c>
      <c r="B73" s="5">
        <v>0.12</v>
      </c>
      <c r="C73" s="5" t="e">
        <f>+#REF!/#REF!</f>
        <v>#REF!</v>
      </c>
    </row>
    <row r="74" spans="1:3" hidden="1">
      <c r="A74" s="6">
        <v>38077</v>
      </c>
      <c r="B74" s="5">
        <v>0.12</v>
      </c>
      <c r="C74" s="5" t="e">
        <f>+#REF!/#REF!</f>
        <v>#REF!</v>
      </c>
    </row>
    <row r="75" spans="1:3" hidden="1">
      <c r="A75" s="6">
        <v>38107</v>
      </c>
      <c r="B75" s="5">
        <v>0.12</v>
      </c>
      <c r="C75" s="5" t="e">
        <f>+#REF!/#REF!</f>
        <v>#REF!</v>
      </c>
    </row>
    <row r="76" spans="1:3" hidden="1">
      <c r="A76" s="6">
        <v>38138</v>
      </c>
      <c r="B76" s="5">
        <v>0.12</v>
      </c>
      <c r="C76" s="5" t="e">
        <f>+#REF!/#REF!</f>
        <v>#REF!</v>
      </c>
    </row>
    <row r="77" spans="1:3">
      <c r="A77" s="6">
        <v>38383</v>
      </c>
      <c r="B77" s="18">
        <f>+J96/I96</f>
        <v>0.12898071274427528</v>
      </c>
      <c r="C77" s="5">
        <f>+C96/B96</f>
        <v>0.13673993091762252</v>
      </c>
    </row>
    <row r="78" spans="1:3">
      <c r="A78" s="6">
        <v>38411</v>
      </c>
      <c r="B78" s="18">
        <f t="shared" ref="B78:B90" si="3">+J97/I97</f>
        <v>0.13085929213864494</v>
      </c>
      <c r="C78" s="5">
        <f>+C97/B97</f>
        <v>0.13208866180616735</v>
      </c>
    </row>
    <row r="79" spans="1:3">
      <c r="A79" s="6">
        <v>38442</v>
      </c>
      <c r="B79" s="18">
        <f t="shared" si="3"/>
        <v>0.13038004013448631</v>
      </c>
      <c r="C79" s="5">
        <f t="shared" ref="C79:C90" si="4">+C98/B98</f>
        <v>0.19604049017276648</v>
      </c>
    </row>
    <row r="80" spans="1:3">
      <c r="A80" s="6">
        <v>38472</v>
      </c>
      <c r="B80" s="18">
        <f t="shared" si="3"/>
        <v>0.12195496095782124</v>
      </c>
      <c r="C80" s="5">
        <f t="shared" si="4"/>
        <v>0.15241385457753448</v>
      </c>
    </row>
    <row r="81" spans="1:14">
      <c r="A81" s="6">
        <v>38503</v>
      </c>
      <c r="B81" s="18">
        <f t="shared" si="3"/>
        <v>0.12541346726004332</v>
      </c>
      <c r="C81" s="5">
        <f t="shared" si="4"/>
        <v>0.14165632478971518</v>
      </c>
    </row>
    <row r="82" spans="1:14">
      <c r="A82" s="6">
        <v>38533</v>
      </c>
      <c r="B82" s="18">
        <f t="shared" si="3"/>
        <v>0.12488613015299337</v>
      </c>
      <c r="C82" s="5">
        <f t="shared" si="4"/>
        <v>0.1848838756563661</v>
      </c>
    </row>
    <row r="83" spans="1:14">
      <c r="A83" s="6">
        <v>38564</v>
      </c>
      <c r="B83" s="18">
        <f t="shared" si="3"/>
        <v>0.11501290320996506</v>
      </c>
      <c r="C83" s="5">
        <f t="shared" si="4"/>
        <v>0.16449577746473917</v>
      </c>
    </row>
    <row r="84" spans="1:14">
      <c r="A84" s="6">
        <v>38595</v>
      </c>
      <c r="B84" s="18">
        <f t="shared" si="3"/>
        <v>0.11277655633561294</v>
      </c>
      <c r="C84" s="5">
        <f t="shared" si="4"/>
        <v>0.15493658869951707</v>
      </c>
    </row>
    <row r="85" spans="1:14">
      <c r="A85" s="6">
        <v>38625</v>
      </c>
      <c r="B85" s="18">
        <f t="shared" si="3"/>
        <v>0.12309022064969832</v>
      </c>
      <c r="C85" s="5">
        <f t="shared" si="4"/>
        <v>0.15332304420044304</v>
      </c>
    </row>
    <row r="86" spans="1:14">
      <c r="A86" s="6">
        <v>38656</v>
      </c>
      <c r="B86" s="18">
        <f t="shared" si="3"/>
        <v>0.12200714930989379</v>
      </c>
      <c r="C86" s="5">
        <f t="shared" si="4"/>
        <v>0.19529936652081478</v>
      </c>
    </row>
    <row r="87" spans="1:14">
      <c r="A87" s="6">
        <v>38686</v>
      </c>
      <c r="B87" s="18">
        <f t="shared" si="3"/>
        <v>0.11866422027208093</v>
      </c>
      <c r="C87" s="5">
        <f t="shared" si="4"/>
        <v>0.16180842648548235</v>
      </c>
    </row>
    <row r="88" spans="1:14">
      <c r="A88" s="6">
        <v>38717</v>
      </c>
      <c r="B88" s="18">
        <f t="shared" si="3"/>
        <v>0.13315244291222511</v>
      </c>
      <c r="C88" s="5">
        <f t="shared" si="4"/>
        <v>0.13637682873798959</v>
      </c>
    </row>
    <row r="89" spans="1:14">
      <c r="A89" s="6">
        <v>38748</v>
      </c>
      <c r="B89" s="18">
        <f t="shared" si="3"/>
        <v>0.1309857686906663</v>
      </c>
      <c r="C89" s="5">
        <f t="shared" si="4"/>
        <v>0.16703948410057518</v>
      </c>
    </row>
    <row r="90" spans="1:14">
      <c r="A90" s="4">
        <v>38776</v>
      </c>
      <c r="B90" s="18">
        <f t="shared" si="3"/>
        <v>0.13679386140079172</v>
      </c>
      <c r="C90" s="5">
        <f t="shared" si="4"/>
        <v>0.1567069373046544</v>
      </c>
    </row>
    <row r="91" spans="1:14">
      <c r="A91" s="4"/>
      <c r="B91" s="5"/>
      <c r="I91" t="s">
        <v>63</v>
      </c>
    </row>
    <row r="92" spans="1:14">
      <c r="B92" t="s">
        <v>16</v>
      </c>
      <c r="C92" t="s">
        <v>28</v>
      </c>
      <c r="I92" t="s">
        <v>16</v>
      </c>
      <c r="J92" t="s">
        <v>64</v>
      </c>
    </row>
    <row r="93" spans="1:14">
      <c r="A93" s="4">
        <v>38291</v>
      </c>
      <c r="B93">
        <v>3110336</v>
      </c>
      <c r="C93">
        <f>166756+97631+138501+13388</f>
        <v>416276</v>
      </c>
      <c r="I93" t="s">
        <v>65</v>
      </c>
    </row>
    <row r="94" spans="1:14">
      <c r="A94" s="4">
        <v>38321</v>
      </c>
      <c r="B94">
        <v>2909482</v>
      </c>
      <c r="C94">
        <f>138710+100131+103991+13897</f>
        <v>356729</v>
      </c>
    </row>
    <row r="95" spans="1:14">
      <c r="A95" s="4">
        <v>38352</v>
      </c>
      <c r="B95">
        <v>2507183</v>
      </c>
      <c r="C95">
        <f>127533+117073+90179+26428</f>
        <v>361213</v>
      </c>
      <c r="I95" t="s">
        <v>68</v>
      </c>
      <c r="J95" t="s">
        <v>69</v>
      </c>
      <c r="K95" t="s">
        <v>59</v>
      </c>
      <c r="L95" t="s">
        <v>60</v>
      </c>
      <c r="M95" t="s">
        <v>61</v>
      </c>
      <c r="N95" t="s">
        <v>62</v>
      </c>
    </row>
    <row r="96" spans="1:14">
      <c r="A96" s="4">
        <v>38383</v>
      </c>
      <c r="B96">
        <v>2455040</v>
      </c>
      <c r="C96">
        <f>115588+81094+125707+13313</f>
        <v>335702</v>
      </c>
      <c r="I96">
        <v>3202944</v>
      </c>
      <c r="J96" s="8">
        <f t="shared" ref="J96:J101" si="5">+K96+L96+M96+N96</f>
        <v>413118</v>
      </c>
      <c r="K96">
        <v>165670</v>
      </c>
      <c r="L96">
        <v>102025</v>
      </c>
      <c r="M96">
        <v>128006</v>
      </c>
      <c r="N96">
        <v>17417</v>
      </c>
    </row>
    <row r="97" spans="1:14">
      <c r="A97" s="4">
        <v>38411</v>
      </c>
      <c r="B97">
        <v>2946748</v>
      </c>
      <c r="C97">
        <f>215057+97650+50365+26160</f>
        <v>389232</v>
      </c>
      <c r="I97">
        <v>3017088</v>
      </c>
      <c r="J97" s="8">
        <f t="shared" si="5"/>
        <v>394814</v>
      </c>
      <c r="K97">
        <v>160449</v>
      </c>
      <c r="L97">
        <v>102184</v>
      </c>
      <c r="M97">
        <v>114764</v>
      </c>
      <c r="N97">
        <v>17417</v>
      </c>
    </row>
    <row r="98" spans="1:14">
      <c r="A98" s="4">
        <v>38442</v>
      </c>
      <c r="B98">
        <v>3389662</v>
      </c>
      <c r="C98">
        <f>310780+130455+208659+14617</f>
        <v>664511</v>
      </c>
      <c r="I98">
        <v>3103067</v>
      </c>
      <c r="J98" s="8">
        <f t="shared" si="5"/>
        <v>404578</v>
      </c>
      <c r="K98">
        <v>158888</v>
      </c>
      <c r="L98">
        <v>113509</v>
      </c>
      <c r="M98">
        <v>114764</v>
      </c>
      <c r="N98">
        <v>17417</v>
      </c>
    </row>
    <row r="99" spans="1:14">
      <c r="A99" s="4">
        <v>38472</v>
      </c>
      <c r="B99">
        <v>3051468</v>
      </c>
      <c r="C99">
        <f>223045+86398+137548+18095</f>
        <v>465086</v>
      </c>
      <c r="I99">
        <v>3148646</v>
      </c>
      <c r="J99" s="8">
        <f t="shared" si="5"/>
        <v>383993</v>
      </c>
      <c r="K99">
        <v>164692</v>
      </c>
      <c r="L99">
        <v>100362</v>
      </c>
      <c r="M99">
        <v>101522</v>
      </c>
      <c r="N99">
        <v>17417</v>
      </c>
    </row>
    <row r="100" spans="1:14">
      <c r="A100" s="4">
        <v>38503</v>
      </c>
      <c r="B100">
        <f>2678575-31570</f>
        <v>2647005</v>
      </c>
      <c r="C100">
        <f>196433+92965+113828-28261</f>
        <v>374965</v>
      </c>
      <c r="I100">
        <v>3157747</v>
      </c>
      <c r="J100" s="8">
        <f t="shared" si="5"/>
        <v>396024</v>
      </c>
      <c r="K100">
        <v>173188</v>
      </c>
      <c r="L100">
        <v>101632</v>
      </c>
      <c r="M100">
        <v>103787</v>
      </c>
      <c r="N100">
        <v>17417</v>
      </c>
    </row>
    <row r="101" spans="1:14">
      <c r="A101" s="4">
        <v>38533</v>
      </c>
      <c r="B101">
        <f>3134620-203710</f>
        <v>2930910</v>
      </c>
      <c r="C101">
        <f>296062+93963+137837+14016</f>
        <v>541878</v>
      </c>
      <c r="E101" t="s">
        <v>59</v>
      </c>
      <c r="F101" t="s">
        <v>60</v>
      </c>
      <c r="G101" t="s">
        <v>61</v>
      </c>
      <c r="H101" t="s">
        <v>62</v>
      </c>
      <c r="I101" s="8">
        <v>3102226</v>
      </c>
      <c r="J101" s="8">
        <f t="shared" si="5"/>
        <v>387425</v>
      </c>
      <c r="K101">
        <v>169348</v>
      </c>
      <c r="L101">
        <v>99138</v>
      </c>
      <c r="M101">
        <v>101522</v>
      </c>
      <c r="N101">
        <v>17417</v>
      </c>
    </row>
    <row r="102" spans="1:14">
      <c r="A102" s="4">
        <v>38564</v>
      </c>
      <c r="B102">
        <v>3012053</v>
      </c>
      <c r="C102">
        <f t="shared" ref="C102:C122" si="6">+E102+F102+G102+H102</f>
        <v>495470</v>
      </c>
      <c r="E102">
        <v>230320</v>
      </c>
      <c r="F102">
        <v>97236</v>
      </c>
      <c r="G102">
        <v>150949</v>
      </c>
      <c r="H102">
        <v>16965</v>
      </c>
      <c r="I102" s="8">
        <v>3258104</v>
      </c>
      <c r="J102" s="8">
        <f t="shared" ref="J102:J132" si="7">+K102+L102+M102+N102</f>
        <v>374724</v>
      </c>
      <c r="K102">
        <v>166938</v>
      </c>
      <c r="L102">
        <v>102089</v>
      </c>
      <c r="M102">
        <v>88280</v>
      </c>
      <c r="N102">
        <v>17417</v>
      </c>
    </row>
    <row r="103" spans="1:14">
      <c r="A103" s="4">
        <v>38595</v>
      </c>
      <c r="B103">
        <v>3151883</v>
      </c>
      <c r="C103">
        <f t="shared" si="6"/>
        <v>488342</v>
      </c>
      <c r="E103">
        <v>233337</v>
      </c>
      <c r="F103">
        <v>103739</v>
      </c>
      <c r="G103">
        <v>137424</v>
      </c>
      <c r="H103">
        <v>13842</v>
      </c>
      <c r="I103" s="8">
        <v>3522248</v>
      </c>
      <c r="J103" s="8">
        <f t="shared" si="7"/>
        <v>397227</v>
      </c>
      <c r="K103">
        <v>175320</v>
      </c>
      <c r="L103">
        <v>102968</v>
      </c>
      <c r="M103">
        <v>101522</v>
      </c>
      <c r="N103">
        <v>17417</v>
      </c>
    </row>
    <row r="104" spans="1:14">
      <c r="A104" s="4">
        <v>38625</v>
      </c>
      <c r="B104">
        <v>3229945</v>
      </c>
      <c r="C104">
        <f t="shared" si="6"/>
        <v>495225</v>
      </c>
      <c r="E104">
        <v>262942</v>
      </c>
      <c r="F104">
        <v>113162</v>
      </c>
      <c r="G104">
        <v>97778</v>
      </c>
      <c r="H104">
        <v>21343</v>
      </c>
      <c r="I104" s="8">
        <v>3093682</v>
      </c>
      <c r="J104" s="8">
        <f t="shared" si="7"/>
        <v>380802</v>
      </c>
      <c r="K104">
        <v>166138</v>
      </c>
      <c r="L104">
        <v>95725</v>
      </c>
      <c r="M104">
        <v>101522</v>
      </c>
      <c r="N104">
        <v>17417</v>
      </c>
    </row>
    <row r="105" spans="1:14">
      <c r="A105" s="4">
        <v>38656</v>
      </c>
      <c r="B105">
        <v>2872549</v>
      </c>
      <c r="C105">
        <f t="shared" si="6"/>
        <v>561007</v>
      </c>
      <c r="E105">
        <v>294002</v>
      </c>
      <c r="F105">
        <v>83025</v>
      </c>
      <c r="G105">
        <v>167105</v>
      </c>
      <c r="H105">
        <v>16875</v>
      </c>
      <c r="I105" s="8">
        <v>3548874</v>
      </c>
      <c r="J105" s="8">
        <f t="shared" si="7"/>
        <v>432988</v>
      </c>
      <c r="K105">
        <v>176082</v>
      </c>
      <c r="L105">
        <v>102184</v>
      </c>
      <c r="M105">
        <v>137305</v>
      </c>
      <c r="N105">
        <v>17417</v>
      </c>
    </row>
    <row r="106" spans="1:14">
      <c r="A106" s="4">
        <v>38686</v>
      </c>
      <c r="B106">
        <v>3363941</v>
      </c>
      <c r="C106">
        <f t="shared" si="6"/>
        <v>544314</v>
      </c>
      <c r="E106">
        <v>262490</v>
      </c>
      <c r="F106">
        <v>107196</v>
      </c>
      <c r="G106">
        <v>156209</v>
      </c>
      <c r="H106">
        <v>18419</v>
      </c>
      <c r="I106" s="8">
        <v>3645092</v>
      </c>
      <c r="J106" s="8">
        <f t="shared" si="7"/>
        <v>432542</v>
      </c>
      <c r="K106">
        <v>168445</v>
      </c>
      <c r="L106">
        <v>105203</v>
      </c>
      <c r="M106">
        <v>141477</v>
      </c>
      <c r="N106">
        <v>17417</v>
      </c>
    </row>
    <row r="107" spans="1:14">
      <c r="A107" s="4">
        <v>38717</v>
      </c>
      <c r="B107">
        <v>3001045</v>
      </c>
      <c r="C107">
        <f t="shared" si="6"/>
        <v>409273</v>
      </c>
      <c r="E107">
        <v>123735</v>
      </c>
      <c r="F107">
        <v>143180</v>
      </c>
      <c r="G107">
        <v>119156</v>
      </c>
      <c r="H107">
        <v>23202</v>
      </c>
      <c r="I107" s="8">
        <v>3252798</v>
      </c>
      <c r="J107" s="8">
        <f t="shared" si="7"/>
        <v>433118</v>
      </c>
      <c r="K107">
        <v>174725</v>
      </c>
      <c r="L107">
        <v>104142</v>
      </c>
      <c r="M107">
        <v>136834</v>
      </c>
      <c r="N107">
        <v>17417</v>
      </c>
    </row>
    <row r="108" spans="1:14">
      <c r="A108" s="4">
        <v>38748</v>
      </c>
      <c r="B108">
        <v>3514396.63</v>
      </c>
      <c r="C108">
        <f t="shared" si="6"/>
        <v>587043</v>
      </c>
      <c r="E108">
        <v>285111</v>
      </c>
      <c r="F108">
        <v>95062</v>
      </c>
      <c r="G108">
        <v>188677</v>
      </c>
      <c r="H108">
        <v>18193</v>
      </c>
      <c r="I108" s="8">
        <v>3530666</v>
      </c>
      <c r="J108" s="8">
        <f t="shared" si="7"/>
        <v>462467</v>
      </c>
      <c r="K108">
        <v>237908</v>
      </c>
      <c r="L108">
        <v>90377</v>
      </c>
      <c r="M108">
        <v>119671</v>
      </c>
      <c r="N108">
        <v>14511</v>
      </c>
    </row>
    <row r="109" spans="1:14">
      <c r="A109" s="4">
        <v>38776</v>
      </c>
      <c r="B109">
        <v>3150186</v>
      </c>
      <c r="C109">
        <f t="shared" si="6"/>
        <v>493656</v>
      </c>
      <c r="E109">
        <v>208169</v>
      </c>
      <c r="F109">
        <v>119034</v>
      </c>
      <c r="G109">
        <v>151375</v>
      </c>
      <c r="H109">
        <v>15078</v>
      </c>
      <c r="I109" s="8">
        <v>3810902</v>
      </c>
      <c r="J109" s="8">
        <f t="shared" si="7"/>
        <v>521308</v>
      </c>
      <c r="K109">
        <v>243750</v>
      </c>
      <c r="L109">
        <v>108499</v>
      </c>
      <c r="M109">
        <v>140545</v>
      </c>
      <c r="N109">
        <v>28514</v>
      </c>
    </row>
    <row r="110" spans="1:14">
      <c r="A110" s="4">
        <v>38807</v>
      </c>
      <c r="B110">
        <v>3419242</v>
      </c>
      <c r="C110">
        <f t="shared" si="6"/>
        <v>582427</v>
      </c>
      <c r="E110">
        <v>290390</v>
      </c>
      <c r="F110">
        <v>125840</v>
      </c>
      <c r="G110">
        <v>145643</v>
      </c>
      <c r="H110">
        <v>20554</v>
      </c>
      <c r="I110" s="8">
        <v>4205733</v>
      </c>
      <c r="J110" s="8">
        <f t="shared" si="7"/>
        <v>618650</v>
      </c>
      <c r="K110">
        <v>288887</v>
      </c>
      <c r="L110">
        <v>139972</v>
      </c>
      <c r="M110">
        <v>173859</v>
      </c>
      <c r="N110">
        <v>15932</v>
      </c>
    </row>
    <row r="111" spans="1:14">
      <c r="A111" s="4">
        <v>38837</v>
      </c>
      <c r="B111">
        <v>3145695</v>
      </c>
      <c r="C111">
        <f t="shared" si="6"/>
        <v>416700</v>
      </c>
      <c r="E111">
        <v>171399</v>
      </c>
      <c r="F111">
        <v>103847</v>
      </c>
      <c r="G111">
        <v>124144</v>
      </c>
      <c r="H111">
        <v>17310</v>
      </c>
      <c r="I111" s="8">
        <v>4002261</v>
      </c>
      <c r="J111" s="8">
        <f t="shared" si="7"/>
        <v>536714</v>
      </c>
      <c r="K111">
        <v>273451</v>
      </c>
      <c r="L111">
        <v>97386</v>
      </c>
      <c r="M111">
        <v>146154</v>
      </c>
      <c r="N111">
        <v>19723</v>
      </c>
    </row>
    <row r="112" spans="1:14">
      <c r="A112" s="4">
        <v>38868</v>
      </c>
      <c r="B112">
        <v>2072481</v>
      </c>
      <c r="C112">
        <f t="shared" si="6"/>
        <v>319246</v>
      </c>
      <c r="E112">
        <v>161983</v>
      </c>
      <c r="F112">
        <v>87580</v>
      </c>
      <c r="G112">
        <v>59542</v>
      </c>
      <c r="H112">
        <v>10141</v>
      </c>
      <c r="I112" s="8">
        <v>3716237</v>
      </c>
      <c r="J112" s="8">
        <f t="shared" si="7"/>
        <v>543353</v>
      </c>
      <c r="K112">
        <v>274690</v>
      </c>
      <c r="L112">
        <v>109729</v>
      </c>
      <c r="M112">
        <v>128130</v>
      </c>
      <c r="N112">
        <v>30804</v>
      </c>
    </row>
    <row r="113" spans="1:14">
      <c r="A113" s="4">
        <v>38898</v>
      </c>
      <c r="B113">
        <v>2819738</v>
      </c>
      <c r="C113">
        <f t="shared" si="6"/>
        <v>488383</v>
      </c>
      <c r="E113">
        <v>275741</v>
      </c>
      <c r="F113">
        <v>90720</v>
      </c>
      <c r="G113">
        <v>92406</v>
      </c>
      <c r="H113">
        <v>29516</v>
      </c>
      <c r="I113" s="8">
        <v>3983980</v>
      </c>
      <c r="J113" s="8">
        <f t="shared" si="7"/>
        <v>545334</v>
      </c>
      <c r="K113">
        <v>276345</v>
      </c>
      <c r="L113">
        <v>100053</v>
      </c>
      <c r="M113">
        <v>153626</v>
      </c>
      <c r="N113">
        <v>15310</v>
      </c>
    </row>
    <row r="114" spans="1:14">
      <c r="A114" s="4">
        <v>38929</v>
      </c>
      <c r="B114">
        <v>3323624</v>
      </c>
      <c r="C114">
        <f t="shared" si="6"/>
        <v>396796</v>
      </c>
      <c r="E114">
        <v>213100</v>
      </c>
      <c r="F114">
        <v>112732</v>
      </c>
      <c r="G114">
        <v>59202</v>
      </c>
      <c r="H114">
        <v>11762</v>
      </c>
      <c r="I114" s="8">
        <v>3735701</v>
      </c>
      <c r="J114" s="8">
        <f t="shared" si="7"/>
        <v>489074</v>
      </c>
      <c r="K114">
        <v>272347</v>
      </c>
      <c r="L114">
        <v>89530</v>
      </c>
      <c r="M114">
        <v>112314</v>
      </c>
      <c r="N114">
        <v>14883</v>
      </c>
    </row>
    <row r="115" spans="1:14">
      <c r="A115" s="4">
        <v>38960</v>
      </c>
      <c r="B115">
        <v>3323624</v>
      </c>
      <c r="C115">
        <f t="shared" si="6"/>
        <v>485123</v>
      </c>
      <c r="E115">
        <v>297038</v>
      </c>
      <c r="F115">
        <v>77732</v>
      </c>
      <c r="G115">
        <v>91719</v>
      </c>
      <c r="H115">
        <v>18634</v>
      </c>
      <c r="I115" s="8">
        <v>4006049</v>
      </c>
      <c r="J115" s="8">
        <f t="shared" si="7"/>
        <v>508412</v>
      </c>
      <c r="K115">
        <v>267069</v>
      </c>
      <c r="L115">
        <v>94187</v>
      </c>
      <c r="M115">
        <v>132657</v>
      </c>
      <c r="N115">
        <v>14499</v>
      </c>
    </row>
    <row r="116" spans="1:14">
      <c r="A116" s="4">
        <v>38990</v>
      </c>
      <c r="B116">
        <v>2300917</v>
      </c>
      <c r="C116">
        <f t="shared" si="6"/>
        <v>309233</v>
      </c>
      <c r="E116">
        <v>167343</v>
      </c>
      <c r="F116">
        <v>72820</v>
      </c>
      <c r="G116">
        <v>51358</v>
      </c>
      <c r="H116">
        <v>17712</v>
      </c>
      <c r="I116" s="8">
        <v>3913526</v>
      </c>
      <c r="J116" s="8">
        <f t="shared" si="7"/>
        <v>506395</v>
      </c>
      <c r="K116">
        <v>264148</v>
      </c>
      <c r="L116">
        <v>92309</v>
      </c>
      <c r="M116">
        <v>124273</v>
      </c>
      <c r="N116">
        <v>25665</v>
      </c>
    </row>
    <row r="117" spans="1:14">
      <c r="A117" s="4">
        <v>39021</v>
      </c>
      <c r="B117">
        <f>3725122-302767</f>
        <v>3422355</v>
      </c>
      <c r="C117">
        <f t="shared" si="6"/>
        <v>399312</v>
      </c>
      <c r="E117">
        <v>229024</v>
      </c>
      <c r="F117">
        <v>94662</v>
      </c>
      <c r="G117">
        <v>49149</v>
      </c>
      <c r="H117">
        <v>26477</v>
      </c>
      <c r="I117" s="8">
        <v>3705704</v>
      </c>
      <c r="J117" s="8">
        <f t="shared" si="7"/>
        <v>505951</v>
      </c>
      <c r="K117">
        <v>270620</v>
      </c>
      <c r="L117">
        <v>98760</v>
      </c>
      <c r="M117">
        <v>121979</v>
      </c>
      <c r="N117">
        <v>14592</v>
      </c>
    </row>
    <row r="118" spans="1:14">
      <c r="A118" s="4">
        <v>39051</v>
      </c>
      <c r="B118">
        <f>2947291-200980</f>
        <v>2746311</v>
      </c>
      <c r="C118">
        <f t="shared" si="6"/>
        <v>433815</v>
      </c>
      <c r="E118">
        <v>211118</v>
      </c>
      <c r="F118">
        <v>100690</v>
      </c>
      <c r="G118">
        <v>102547</v>
      </c>
      <c r="H118">
        <v>19460</v>
      </c>
      <c r="I118" s="8">
        <v>3631346</v>
      </c>
      <c r="J118" s="8">
        <f t="shared" si="7"/>
        <v>546949</v>
      </c>
      <c r="K118">
        <v>271792</v>
      </c>
      <c r="L118">
        <v>105337</v>
      </c>
      <c r="M118">
        <v>154673</v>
      </c>
      <c r="N118">
        <v>15147</v>
      </c>
    </row>
    <row r="119" spans="1:14">
      <c r="A119" s="4">
        <v>39082</v>
      </c>
      <c r="B119">
        <f>3304198-159607</f>
        <v>3144591</v>
      </c>
      <c r="C119">
        <f t="shared" si="6"/>
        <v>404902</v>
      </c>
      <c r="E119">
        <v>196723</v>
      </c>
      <c r="F119">
        <v>107586</v>
      </c>
      <c r="G119">
        <v>81476</v>
      </c>
      <c r="H119">
        <v>19117</v>
      </c>
      <c r="I119" s="8">
        <v>3566897</v>
      </c>
      <c r="J119" s="8">
        <f t="shared" si="7"/>
        <v>535169</v>
      </c>
      <c r="K119">
        <v>274647</v>
      </c>
      <c r="L119">
        <v>118696</v>
      </c>
      <c r="M119">
        <v>113020</v>
      </c>
      <c r="N119">
        <v>28806</v>
      </c>
    </row>
    <row r="120" spans="1:14">
      <c r="A120" s="4">
        <v>39113</v>
      </c>
      <c r="B120">
        <v>3683337</v>
      </c>
      <c r="C120">
        <f t="shared" si="6"/>
        <v>445953</v>
      </c>
      <c r="E120">
        <v>234994</v>
      </c>
      <c r="F120">
        <v>100031</v>
      </c>
      <c r="G120">
        <v>90561</v>
      </c>
      <c r="H120">
        <v>20367</v>
      </c>
      <c r="I120" s="8">
        <v>3340776</v>
      </c>
      <c r="J120" s="8">
        <f t="shared" si="7"/>
        <v>450738</v>
      </c>
      <c r="K120">
        <v>244871</v>
      </c>
      <c r="L120">
        <v>101501</v>
      </c>
      <c r="M120">
        <v>84866</v>
      </c>
      <c r="N120">
        <v>19500</v>
      </c>
    </row>
    <row r="121" spans="1:14">
      <c r="A121" s="4">
        <v>39141</v>
      </c>
      <c r="B121">
        <f>3020932-229294</f>
        <v>2791638</v>
      </c>
      <c r="C121">
        <f t="shared" si="6"/>
        <v>303278</v>
      </c>
      <c r="E121">
        <v>143007</v>
      </c>
      <c r="F121">
        <v>76965</v>
      </c>
      <c r="G121">
        <v>64877</v>
      </c>
      <c r="H121">
        <v>18429</v>
      </c>
      <c r="I121" s="8">
        <v>3296569</v>
      </c>
      <c r="J121" s="8">
        <f t="shared" si="7"/>
        <v>426299</v>
      </c>
      <c r="K121">
        <v>236791</v>
      </c>
      <c r="L121">
        <v>97376</v>
      </c>
      <c r="M121">
        <v>72632</v>
      </c>
      <c r="N121">
        <v>19500</v>
      </c>
    </row>
    <row r="122" spans="1:14">
      <c r="A122" s="4">
        <v>39172</v>
      </c>
      <c r="B122">
        <f>3342610-242437</f>
        <v>3100173</v>
      </c>
      <c r="C122">
        <f t="shared" si="6"/>
        <v>478488</v>
      </c>
      <c r="E122">
        <v>229387</v>
      </c>
      <c r="F122">
        <v>143434</v>
      </c>
      <c r="G122">
        <v>86770</v>
      </c>
      <c r="H122">
        <v>18897</v>
      </c>
      <c r="I122" s="8">
        <v>3473097</v>
      </c>
      <c r="J122" s="8">
        <f t="shared" si="7"/>
        <v>445984</v>
      </c>
      <c r="K122">
        <v>239184</v>
      </c>
      <c r="L122">
        <v>104232</v>
      </c>
      <c r="M122">
        <v>83068</v>
      </c>
      <c r="N122">
        <v>19500</v>
      </c>
    </row>
    <row r="123" spans="1:14">
      <c r="A123" s="4">
        <v>39202</v>
      </c>
      <c r="B123">
        <f>3670973-124512</f>
        <v>3546461</v>
      </c>
      <c r="C123">
        <f t="shared" ref="C123:C130" si="8">+E123+F123+G123+H123</f>
        <v>421942</v>
      </c>
      <c r="E123">
        <v>203139</v>
      </c>
      <c r="F123">
        <v>107160</v>
      </c>
      <c r="G123">
        <v>87407</v>
      </c>
      <c r="H123">
        <v>24236</v>
      </c>
      <c r="I123" s="8">
        <v>3393212</v>
      </c>
      <c r="J123" s="8">
        <f t="shared" si="7"/>
        <v>431462</v>
      </c>
      <c r="K123">
        <v>239570</v>
      </c>
      <c r="L123">
        <v>100392</v>
      </c>
      <c r="M123">
        <v>72000</v>
      </c>
      <c r="N123">
        <v>19500</v>
      </c>
    </row>
    <row r="124" spans="1:14">
      <c r="A124" s="4">
        <v>39233</v>
      </c>
      <c r="B124">
        <v>3373607</v>
      </c>
      <c r="C124">
        <f t="shared" si="8"/>
        <v>432158</v>
      </c>
      <c r="E124">
        <v>239669</v>
      </c>
      <c r="F124">
        <v>89119</v>
      </c>
      <c r="G124">
        <v>77014</v>
      </c>
      <c r="H124">
        <v>26356</v>
      </c>
      <c r="I124" s="8">
        <v>3467183</v>
      </c>
      <c r="J124" s="8">
        <f t="shared" si="7"/>
        <v>447571</v>
      </c>
      <c r="K124">
        <v>245250</v>
      </c>
      <c r="L124">
        <v>98613</v>
      </c>
      <c r="M124">
        <v>84208</v>
      </c>
      <c r="N124">
        <v>19500</v>
      </c>
    </row>
    <row r="125" spans="1:14">
      <c r="A125" s="4">
        <v>39263</v>
      </c>
      <c r="B125">
        <v>3688493</v>
      </c>
      <c r="C125">
        <f t="shared" si="8"/>
        <v>521136</v>
      </c>
      <c r="E125">
        <v>309474</v>
      </c>
      <c r="F125">
        <v>104548</v>
      </c>
      <c r="G125">
        <v>86994</v>
      </c>
      <c r="H125">
        <v>20120</v>
      </c>
      <c r="I125" s="8">
        <v>3543098</v>
      </c>
      <c r="J125" s="8">
        <f t="shared" si="7"/>
        <v>439989</v>
      </c>
      <c r="K125">
        <v>235734</v>
      </c>
      <c r="L125">
        <v>93349</v>
      </c>
      <c r="M125">
        <v>91406</v>
      </c>
      <c r="N125">
        <v>19500</v>
      </c>
    </row>
    <row r="126" spans="1:14">
      <c r="A126" s="4">
        <v>39294</v>
      </c>
      <c r="B126">
        <v>2671052</v>
      </c>
      <c r="C126">
        <f t="shared" si="8"/>
        <v>428948</v>
      </c>
      <c r="E126">
        <v>229531</v>
      </c>
      <c r="F126">
        <v>96679</v>
      </c>
      <c r="G126">
        <v>78100</v>
      </c>
      <c r="H126">
        <v>24638</v>
      </c>
      <c r="I126" s="8">
        <v>3362849</v>
      </c>
      <c r="J126" s="8">
        <f t="shared" si="7"/>
        <v>436135</v>
      </c>
      <c r="K126">
        <v>237593</v>
      </c>
      <c r="L126">
        <v>95933</v>
      </c>
      <c r="M126">
        <v>83109</v>
      </c>
      <c r="N126">
        <v>19500</v>
      </c>
    </row>
    <row r="127" spans="1:14">
      <c r="A127" s="4">
        <v>39325</v>
      </c>
      <c r="B127">
        <v>3390734</v>
      </c>
      <c r="C127">
        <f t="shared" si="8"/>
        <v>548585</v>
      </c>
      <c r="E127">
        <v>356345</v>
      </c>
      <c r="F127">
        <v>103204</v>
      </c>
      <c r="G127">
        <v>67831</v>
      </c>
      <c r="H127">
        <v>21205</v>
      </c>
      <c r="I127" s="8">
        <v>3572170</v>
      </c>
      <c r="J127" s="8">
        <f t="shared" si="7"/>
        <v>443753</v>
      </c>
      <c r="K127">
        <v>238122</v>
      </c>
      <c r="L127">
        <v>98888</v>
      </c>
      <c r="M127">
        <v>87243</v>
      </c>
      <c r="N127">
        <v>19500</v>
      </c>
    </row>
    <row r="128" spans="1:14">
      <c r="A128" s="4">
        <v>39355</v>
      </c>
      <c r="B128">
        <v>2704095</v>
      </c>
      <c r="C128">
        <f t="shared" si="8"/>
        <v>477684</v>
      </c>
      <c r="E128">
        <v>305290</v>
      </c>
      <c r="F128">
        <v>98611</v>
      </c>
      <c r="G128">
        <v>49284</v>
      </c>
      <c r="H128">
        <v>24499</v>
      </c>
      <c r="I128" s="8">
        <v>3450523</v>
      </c>
      <c r="J128" s="8">
        <f t="shared" si="7"/>
        <v>431035</v>
      </c>
      <c r="K128">
        <v>240969</v>
      </c>
      <c r="L128">
        <v>101415</v>
      </c>
      <c r="M128">
        <v>69151</v>
      </c>
      <c r="N128">
        <v>19500</v>
      </c>
    </row>
    <row r="129" spans="1:14">
      <c r="A129" s="4">
        <v>39386</v>
      </c>
      <c r="B129">
        <v>2891653</v>
      </c>
      <c r="C129">
        <f t="shared" si="8"/>
        <v>481035</v>
      </c>
      <c r="E129">
        <v>313700</v>
      </c>
      <c r="F129">
        <v>72122</v>
      </c>
      <c r="G129">
        <v>79220</v>
      </c>
      <c r="H129">
        <v>15993</v>
      </c>
      <c r="I129" s="8">
        <v>3479860</v>
      </c>
      <c r="J129" s="8">
        <f t="shared" si="7"/>
        <v>478427</v>
      </c>
      <c r="K129">
        <v>235213</v>
      </c>
      <c r="L129">
        <v>96785</v>
      </c>
      <c r="M129">
        <v>126929</v>
      </c>
      <c r="N129">
        <v>19500</v>
      </c>
    </row>
    <row r="130" spans="1:14">
      <c r="A130" s="4">
        <v>39416</v>
      </c>
      <c r="B130">
        <v>3102398</v>
      </c>
      <c r="C130">
        <f t="shared" si="8"/>
        <v>562172</v>
      </c>
      <c r="E130">
        <v>324919</v>
      </c>
      <c r="F130">
        <v>131042</v>
      </c>
      <c r="G130">
        <v>71980</v>
      </c>
      <c r="H130">
        <v>34231</v>
      </c>
      <c r="I130" s="8">
        <v>3528724</v>
      </c>
      <c r="J130" s="8">
        <f t="shared" si="7"/>
        <v>463268</v>
      </c>
      <c r="K130">
        <v>245166</v>
      </c>
      <c r="L130">
        <v>101699</v>
      </c>
      <c r="M130">
        <v>96903</v>
      </c>
      <c r="N130">
        <v>19500</v>
      </c>
    </row>
    <row r="131" spans="1:14">
      <c r="A131" s="4">
        <v>39447</v>
      </c>
      <c r="B131">
        <v>3151659</v>
      </c>
      <c r="C131">
        <f t="shared" ref="C131:C143" si="9">+E131+F131+G131+H131</f>
        <v>471417</v>
      </c>
      <c r="E131">
        <v>283288</v>
      </c>
      <c r="F131">
        <v>110379</v>
      </c>
      <c r="G131">
        <v>61515</v>
      </c>
      <c r="H131">
        <v>16235</v>
      </c>
      <c r="I131" s="8">
        <v>3504804</v>
      </c>
      <c r="J131" s="8">
        <f t="shared" si="7"/>
        <v>436307</v>
      </c>
      <c r="K131">
        <v>237824</v>
      </c>
      <c r="L131">
        <v>91266</v>
      </c>
      <c r="M131">
        <v>87717</v>
      </c>
      <c r="N131">
        <v>19500</v>
      </c>
    </row>
    <row r="132" spans="1:14">
      <c r="A132" s="4">
        <v>39448</v>
      </c>
      <c r="B132">
        <v>3429450</v>
      </c>
      <c r="C132">
        <f t="shared" si="9"/>
        <v>417434</v>
      </c>
      <c r="E132">
        <v>212896</v>
      </c>
      <c r="F132">
        <v>100869</v>
      </c>
      <c r="G132">
        <v>77070</v>
      </c>
      <c r="H132">
        <v>26599</v>
      </c>
      <c r="I132" s="8"/>
      <c r="J132" s="8">
        <f t="shared" si="7"/>
        <v>0</v>
      </c>
    </row>
    <row r="133" spans="1:14">
      <c r="A133" s="4">
        <v>39507</v>
      </c>
      <c r="B133">
        <v>3640620</v>
      </c>
      <c r="C133">
        <f t="shared" si="9"/>
        <v>386911</v>
      </c>
      <c r="E133">
        <v>215154</v>
      </c>
      <c r="F133">
        <v>66299</v>
      </c>
      <c r="G133">
        <v>82971</v>
      </c>
      <c r="H133">
        <v>22487</v>
      </c>
    </row>
    <row r="134" spans="1:14">
      <c r="A134" s="4">
        <v>39538</v>
      </c>
      <c r="B134">
        <v>3520228</v>
      </c>
      <c r="C134">
        <f t="shared" si="9"/>
        <v>477597</v>
      </c>
      <c r="E134">
        <v>296432</v>
      </c>
      <c r="F134">
        <v>83811</v>
      </c>
      <c r="G134">
        <v>73391</v>
      </c>
      <c r="H134">
        <v>23963</v>
      </c>
    </row>
    <row r="135" spans="1:14">
      <c r="A135" s="4">
        <v>39568</v>
      </c>
      <c r="B135">
        <v>3646895</v>
      </c>
      <c r="C135">
        <f t="shared" si="9"/>
        <v>576062</v>
      </c>
      <c r="E135">
        <v>334683</v>
      </c>
      <c r="F135">
        <v>122079</v>
      </c>
      <c r="G135">
        <v>95702</v>
      </c>
      <c r="H135">
        <v>23598</v>
      </c>
    </row>
    <row r="136" spans="1:14">
      <c r="A136" s="4">
        <v>39599</v>
      </c>
      <c r="B136">
        <v>4285678</v>
      </c>
      <c r="C136">
        <f t="shared" si="9"/>
        <v>500195</v>
      </c>
      <c r="E136">
        <v>293848</v>
      </c>
      <c r="F136">
        <v>122062</v>
      </c>
      <c r="G136">
        <v>59961</v>
      </c>
      <c r="H136">
        <v>24324</v>
      </c>
    </row>
    <row r="137" spans="1:14">
      <c r="A137" s="4">
        <v>39629</v>
      </c>
      <c r="B137">
        <v>3051436</v>
      </c>
      <c r="C137">
        <f t="shared" si="9"/>
        <v>442698</v>
      </c>
      <c r="E137">
        <v>290738</v>
      </c>
      <c r="F137">
        <v>89809</v>
      </c>
      <c r="G137">
        <v>42572</v>
      </c>
      <c r="H137">
        <v>19579</v>
      </c>
    </row>
    <row r="138" spans="1:14">
      <c r="A138" s="89">
        <v>39660</v>
      </c>
      <c r="B138">
        <v>2899212</v>
      </c>
      <c r="C138">
        <f t="shared" si="9"/>
        <v>409905</v>
      </c>
      <c r="E138">
        <v>227769</v>
      </c>
      <c r="F138">
        <v>88415</v>
      </c>
      <c r="G138">
        <v>67463</v>
      </c>
      <c r="H138">
        <v>26258</v>
      </c>
    </row>
    <row r="139" spans="1:14">
      <c r="A139" s="89">
        <v>39691</v>
      </c>
      <c r="B139">
        <v>2943979</v>
      </c>
      <c r="C139">
        <f t="shared" si="9"/>
        <v>457838</v>
      </c>
      <c r="E139">
        <v>255571</v>
      </c>
      <c r="F139">
        <v>96694</v>
      </c>
      <c r="G139">
        <v>80550</v>
      </c>
      <c r="H139">
        <v>25023</v>
      </c>
    </row>
    <row r="140" spans="1:14">
      <c r="A140" s="89">
        <v>39721</v>
      </c>
      <c r="B140">
        <v>2674922</v>
      </c>
      <c r="C140">
        <f t="shared" si="9"/>
        <v>491218</v>
      </c>
      <c r="E140">
        <v>299036</v>
      </c>
      <c r="F140">
        <v>77546</v>
      </c>
      <c r="G140">
        <v>92212</v>
      </c>
      <c r="H140">
        <v>22424</v>
      </c>
    </row>
    <row r="141" spans="1:14">
      <c r="A141" s="89">
        <v>39752</v>
      </c>
      <c r="B141">
        <v>2679935</v>
      </c>
      <c r="C141">
        <f t="shared" si="9"/>
        <v>413864</v>
      </c>
      <c r="E141">
        <v>234783</v>
      </c>
      <c r="F141">
        <v>97731</v>
      </c>
      <c r="G141">
        <v>61777</v>
      </c>
      <c r="H141">
        <v>19573</v>
      </c>
    </row>
    <row r="142" spans="1:14">
      <c r="A142" s="89">
        <v>39753</v>
      </c>
      <c r="B142">
        <v>2161376</v>
      </c>
      <c r="C142">
        <f t="shared" si="9"/>
        <v>424029</v>
      </c>
      <c r="E142">
        <v>232112</v>
      </c>
      <c r="F142">
        <v>110304</v>
      </c>
      <c r="G142">
        <v>62061</v>
      </c>
      <c r="H142">
        <v>19552</v>
      </c>
    </row>
    <row r="143" spans="1:14">
      <c r="B143">
        <v>2721111</v>
      </c>
      <c r="C143">
        <f t="shared" si="9"/>
        <v>481382</v>
      </c>
      <c r="E143">
        <v>286629</v>
      </c>
      <c r="F143">
        <v>79726</v>
      </c>
      <c r="G143">
        <v>83354</v>
      </c>
      <c r="H143">
        <v>31673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W219"/>
  <sheetViews>
    <sheetView topLeftCell="A158" workbookViewId="0">
      <selection activeCell="J179" sqref="J179"/>
    </sheetView>
  </sheetViews>
  <sheetFormatPr defaultRowHeight="12.75"/>
  <cols>
    <col min="1" max="1" width="10.140625" bestFit="1" customWidth="1"/>
    <col min="2" max="2" width="11" customWidth="1"/>
    <col min="4" max="4" width="12.7109375" customWidth="1"/>
    <col min="7" max="8" width="12.140625" customWidth="1"/>
    <col min="10" max="10" width="12.28515625" customWidth="1"/>
    <col min="12" max="12" width="13.5703125" customWidth="1"/>
    <col min="13" max="22" width="14.140625" bestFit="1" customWidth="1"/>
    <col min="23" max="23" width="14" bestFit="1" customWidth="1"/>
  </cols>
  <sheetData>
    <row r="1" spans="1:20">
      <c r="A1" t="s">
        <v>38</v>
      </c>
    </row>
    <row r="4" spans="1:20"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6" spans="1:20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8" spans="1:20">
      <c r="D8" s="9"/>
      <c r="E8" s="9"/>
      <c r="F8" s="9"/>
      <c r="G8" s="9"/>
      <c r="H8" s="9"/>
      <c r="I8" s="9"/>
      <c r="J8" s="9"/>
      <c r="K8" s="9"/>
      <c r="L8" s="10"/>
      <c r="M8" s="9"/>
      <c r="N8" s="9"/>
    </row>
    <row r="10" spans="1:20">
      <c r="B10" t="s">
        <v>39</v>
      </c>
      <c r="C10" t="s">
        <v>40</v>
      </c>
      <c r="S10" t="s">
        <v>39</v>
      </c>
      <c r="T10" t="s">
        <v>40</v>
      </c>
    </row>
    <row r="11" spans="1:20" hidden="1">
      <c r="A11" s="6">
        <v>37287</v>
      </c>
      <c r="B11" s="3">
        <f>+J95</f>
        <v>2532493.79</v>
      </c>
      <c r="C11" s="11">
        <f>+D53</f>
        <v>0</v>
      </c>
      <c r="R11" s="6">
        <v>38260</v>
      </c>
      <c r="S11" s="3">
        <f>+J98</f>
        <v>2407388.09</v>
      </c>
      <c r="T11" s="11">
        <f>+I98</f>
        <v>74.952594283323691</v>
      </c>
    </row>
    <row r="12" spans="1:20" hidden="1">
      <c r="B12" s="3">
        <f t="shared" ref="B12:B42" si="0">+J96</f>
        <v>2281904.17</v>
      </c>
      <c r="C12" s="11">
        <f>+E53</f>
        <v>0</v>
      </c>
      <c r="R12" s="6">
        <v>38291</v>
      </c>
      <c r="S12" s="3">
        <f t="shared" ref="S12:S22" si="1">+J99</f>
        <v>2119511.9300000002</v>
      </c>
      <c r="T12" s="11">
        <f t="shared" ref="T12:T22" si="2">+I99</f>
        <v>83.236940598919702</v>
      </c>
    </row>
    <row r="13" spans="1:20" hidden="1">
      <c r="A13" s="6">
        <v>37346</v>
      </c>
      <c r="B13" s="3">
        <f t="shared" si="0"/>
        <v>2780535.72</v>
      </c>
      <c r="C13" s="11">
        <f>+I97</f>
        <v>72.034837460879658</v>
      </c>
      <c r="R13" s="6">
        <v>38321</v>
      </c>
      <c r="S13" s="3">
        <f t="shared" si="1"/>
        <v>2093018</v>
      </c>
      <c r="T13" s="11">
        <f t="shared" si="2"/>
        <v>84.548580557989325</v>
      </c>
    </row>
    <row r="14" spans="1:20" hidden="1">
      <c r="A14" s="6">
        <v>37376</v>
      </c>
      <c r="B14" s="3">
        <f t="shared" si="0"/>
        <v>2407388.09</v>
      </c>
      <c r="C14" s="17">
        <f t="shared" ref="C14:C42" si="3">+I98</f>
        <v>74.952594283323691</v>
      </c>
      <c r="R14" s="6">
        <v>38352</v>
      </c>
      <c r="S14" s="3">
        <f t="shared" si="1"/>
        <v>2810988.44</v>
      </c>
      <c r="T14" s="11">
        <f t="shared" si="2"/>
        <v>78.216114354351816</v>
      </c>
    </row>
    <row r="15" spans="1:20" hidden="1">
      <c r="A15" s="6">
        <v>37407</v>
      </c>
      <c r="B15" s="3">
        <f t="shared" si="0"/>
        <v>2119511.9300000002</v>
      </c>
      <c r="C15" s="17">
        <f t="shared" si="3"/>
        <v>83.236940598919702</v>
      </c>
      <c r="R15" s="6">
        <v>38383</v>
      </c>
      <c r="S15" s="3">
        <f t="shared" si="1"/>
        <v>2195988.11</v>
      </c>
      <c r="T15" s="11">
        <f t="shared" si="2"/>
        <v>80.152750431550885</v>
      </c>
    </row>
    <row r="16" spans="1:20" hidden="1">
      <c r="A16" s="6">
        <v>37437</v>
      </c>
      <c r="B16" s="3">
        <f t="shared" si="0"/>
        <v>2093018</v>
      </c>
      <c r="C16" s="17">
        <f t="shared" si="3"/>
        <v>84.548580557989325</v>
      </c>
      <c r="R16" s="6">
        <v>38411</v>
      </c>
      <c r="S16" s="3">
        <f t="shared" si="1"/>
        <v>2443421.81</v>
      </c>
      <c r="T16" s="11">
        <f t="shared" si="2"/>
        <v>78.620198189679471</v>
      </c>
    </row>
    <row r="17" spans="1:20" hidden="1">
      <c r="A17" s="6">
        <v>37468</v>
      </c>
      <c r="B17" s="3">
        <f t="shared" si="0"/>
        <v>2810988.44</v>
      </c>
      <c r="C17" s="17">
        <f t="shared" si="3"/>
        <v>78.216114354351816</v>
      </c>
      <c r="R17" s="6">
        <v>38442</v>
      </c>
      <c r="S17" s="3">
        <f t="shared" si="1"/>
        <v>2475721.92</v>
      </c>
      <c r="T17" s="11">
        <f t="shared" si="2"/>
        <v>79.321562540344331</v>
      </c>
    </row>
    <row r="18" spans="1:20" hidden="1">
      <c r="A18" s="6">
        <v>37499</v>
      </c>
      <c r="B18" s="3">
        <f t="shared" si="0"/>
        <v>2195988.11</v>
      </c>
      <c r="C18" s="17">
        <f t="shared" si="3"/>
        <v>80.152750431550885</v>
      </c>
      <c r="R18" s="6">
        <v>38472</v>
      </c>
      <c r="S18" s="3">
        <f t="shared" si="1"/>
        <v>2204752.85</v>
      </c>
      <c r="T18" s="11">
        <f t="shared" si="2"/>
        <v>79.235833982557381</v>
      </c>
    </row>
    <row r="19" spans="1:20" hidden="1">
      <c r="A19" s="6">
        <v>37529</v>
      </c>
      <c r="B19" s="3">
        <f t="shared" si="0"/>
        <v>2443421.81</v>
      </c>
      <c r="C19" s="17">
        <f t="shared" si="3"/>
        <v>78.620198189679471</v>
      </c>
      <c r="R19" s="6">
        <v>38503</v>
      </c>
      <c r="S19" s="3">
        <f t="shared" si="1"/>
        <v>2639110</v>
      </c>
      <c r="T19" s="11">
        <f t="shared" si="2"/>
        <v>80.340121839084063</v>
      </c>
    </row>
    <row r="20" spans="1:20" hidden="1">
      <c r="A20" s="6">
        <v>37560</v>
      </c>
      <c r="B20" s="3">
        <f t="shared" si="0"/>
        <v>2475721.92</v>
      </c>
      <c r="C20" s="17">
        <f t="shared" si="3"/>
        <v>79.321562540344331</v>
      </c>
      <c r="R20" s="6">
        <v>38533</v>
      </c>
      <c r="S20" s="3">
        <f t="shared" si="1"/>
        <v>2709179.15</v>
      </c>
      <c r="T20" s="11">
        <f t="shared" si="2"/>
        <v>83.804164659951326</v>
      </c>
    </row>
    <row r="21" spans="1:20" hidden="1">
      <c r="A21" s="6">
        <v>37590</v>
      </c>
      <c r="B21" s="3">
        <f t="shared" si="0"/>
        <v>2204752.85</v>
      </c>
      <c r="C21" s="17">
        <f t="shared" si="3"/>
        <v>79.235833982557381</v>
      </c>
      <c r="R21" s="6">
        <v>38564</v>
      </c>
      <c r="S21" s="3">
        <f t="shared" si="1"/>
        <v>2162161.36</v>
      </c>
      <c r="T21" s="11">
        <f t="shared" si="2"/>
        <v>82.673207017136036</v>
      </c>
    </row>
    <row r="22" spans="1:20" hidden="1">
      <c r="A22" s="6">
        <v>37621</v>
      </c>
      <c r="B22" s="3">
        <f t="shared" si="0"/>
        <v>2639110</v>
      </c>
      <c r="C22" s="17">
        <f t="shared" si="3"/>
        <v>80.340121839084063</v>
      </c>
      <c r="R22" s="6">
        <v>38595</v>
      </c>
      <c r="S22" s="3">
        <f t="shared" si="1"/>
        <v>2264076</v>
      </c>
      <c r="T22" s="11">
        <f t="shared" si="2"/>
        <v>79.588962227277577</v>
      </c>
    </row>
    <row r="23" spans="1:20" hidden="1">
      <c r="A23" s="6">
        <v>37652</v>
      </c>
      <c r="B23" s="3">
        <f t="shared" si="0"/>
        <v>2709179.15</v>
      </c>
      <c r="C23" s="17">
        <f t="shared" si="3"/>
        <v>83.804164659951326</v>
      </c>
      <c r="R23" s="6">
        <v>38260</v>
      </c>
      <c r="S23" s="3"/>
      <c r="T23" s="11"/>
    </row>
    <row r="24" spans="1:20" hidden="1">
      <c r="A24" s="6">
        <v>37680</v>
      </c>
      <c r="B24" s="3">
        <f t="shared" si="0"/>
        <v>2162161.36</v>
      </c>
      <c r="C24" s="17">
        <f t="shared" si="3"/>
        <v>82.673207017136036</v>
      </c>
      <c r="R24" s="6"/>
      <c r="S24" s="3"/>
      <c r="T24" s="17"/>
    </row>
    <row r="25" spans="1:20" hidden="1">
      <c r="A25" s="6">
        <v>37711</v>
      </c>
      <c r="B25" s="3">
        <f t="shared" si="0"/>
        <v>2264076</v>
      </c>
      <c r="C25" s="17">
        <f t="shared" si="3"/>
        <v>79.588962227277577</v>
      </c>
      <c r="R25" s="6"/>
      <c r="S25" s="3"/>
      <c r="T25" s="17"/>
    </row>
    <row r="26" spans="1:20" hidden="1">
      <c r="A26" s="6">
        <v>37741</v>
      </c>
      <c r="B26" s="3">
        <f t="shared" si="0"/>
        <v>2250547.29</v>
      </c>
      <c r="C26" s="17">
        <f t="shared" si="3"/>
        <v>77.742419545962122</v>
      </c>
    </row>
    <row r="27" spans="1:20" hidden="1">
      <c r="A27" s="6">
        <v>37772</v>
      </c>
      <c r="B27" s="3">
        <f t="shared" si="0"/>
        <v>2088855</v>
      </c>
      <c r="C27" s="17">
        <f t="shared" si="3"/>
        <v>79.908282779744297</v>
      </c>
    </row>
    <row r="28" spans="1:20" hidden="1">
      <c r="A28" s="6">
        <v>37802</v>
      </c>
      <c r="B28" s="3">
        <f t="shared" si="0"/>
        <v>2643712.98</v>
      </c>
      <c r="C28" s="17">
        <f t="shared" si="3"/>
        <v>76.683796906738905</v>
      </c>
    </row>
    <row r="29" spans="1:20" hidden="1">
      <c r="A29" s="6">
        <v>37833</v>
      </c>
      <c r="B29" s="3">
        <f t="shared" si="0"/>
        <v>2347322</v>
      </c>
      <c r="C29" s="17">
        <f t="shared" si="3"/>
        <v>78.178000291606494</v>
      </c>
      <c r="G29" s="7"/>
    </row>
    <row r="30" spans="1:20" hidden="1">
      <c r="A30" s="6">
        <v>37864</v>
      </c>
      <c r="B30" s="3">
        <f t="shared" si="0"/>
        <v>2222446</v>
      </c>
      <c r="C30" s="17">
        <f t="shared" si="3"/>
        <v>77.605187390369295</v>
      </c>
    </row>
    <row r="31" spans="1:20" hidden="1">
      <c r="A31" s="6">
        <v>37894</v>
      </c>
      <c r="B31" s="3">
        <f t="shared" si="0"/>
        <v>2198370.7999999998</v>
      </c>
      <c r="C31" s="17">
        <f t="shared" si="3"/>
        <v>75.588566894208142</v>
      </c>
    </row>
    <row r="32" spans="1:20" hidden="1">
      <c r="A32" s="6">
        <v>37925</v>
      </c>
      <c r="B32" s="3">
        <f t="shared" si="0"/>
        <v>2546972</v>
      </c>
      <c r="C32" s="17">
        <f t="shared" si="3"/>
        <v>74.759932382507671</v>
      </c>
    </row>
    <row r="33" spans="1:14" hidden="1">
      <c r="A33" s="6">
        <v>37955</v>
      </c>
      <c r="B33" s="3">
        <f t="shared" si="0"/>
        <v>1910505.98</v>
      </c>
      <c r="C33" s="17">
        <f t="shared" si="3"/>
        <v>83.140463529050962</v>
      </c>
    </row>
    <row r="34" spans="1:14" hidden="1">
      <c r="A34" s="6">
        <v>37986</v>
      </c>
      <c r="B34" s="3">
        <f t="shared" si="0"/>
        <v>2384367.77</v>
      </c>
      <c r="C34" s="17">
        <f t="shared" si="3"/>
        <v>78.111212712346045</v>
      </c>
    </row>
    <row r="35" spans="1:14" hidden="1">
      <c r="A35" s="6">
        <v>38017</v>
      </c>
      <c r="B35" s="3">
        <f t="shared" si="0"/>
        <v>2187700</v>
      </c>
      <c r="C35" s="17">
        <f t="shared" si="3"/>
        <v>83.578407630715631</v>
      </c>
    </row>
    <row r="36" spans="1:14" hidden="1">
      <c r="A36" s="6">
        <v>38046</v>
      </c>
      <c r="B36" s="3">
        <f t="shared" si="0"/>
        <v>2173402.7400000002</v>
      </c>
      <c r="C36" s="17">
        <f t="shared" si="3"/>
        <v>87.221439186180021</v>
      </c>
    </row>
    <row r="37" spans="1:14" hidden="1">
      <c r="A37" s="6">
        <v>38077</v>
      </c>
      <c r="B37" s="3">
        <f t="shared" si="0"/>
        <v>3162999.48</v>
      </c>
      <c r="C37" s="17">
        <f t="shared" si="3"/>
        <v>78.643064391487329</v>
      </c>
    </row>
    <row r="38" spans="1:14" hidden="1">
      <c r="A38" s="6">
        <v>38107</v>
      </c>
      <c r="B38" s="3">
        <f t="shared" si="0"/>
        <v>2229481.87</v>
      </c>
      <c r="C38" s="17">
        <f t="shared" si="3"/>
        <v>86.02802898868805</v>
      </c>
    </row>
    <row r="39" spans="1:14" hidden="1">
      <c r="A39" s="6">
        <v>38138</v>
      </c>
      <c r="B39" s="3">
        <f t="shared" si="0"/>
        <v>2455342</v>
      </c>
      <c r="C39" s="17">
        <f t="shared" si="3"/>
        <v>90.723886775019309</v>
      </c>
    </row>
    <row r="40" spans="1:14" hidden="1">
      <c r="A40" s="6">
        <v>38168</v>
      </c>
      <c r="B40" s="3">
        <f t="shared" si="0"/>
        <v>3075292.64</v>
      </c>
      <c r="C40" s="17">
        <f t="shared" si="3"/>
        <v>87.861703781435622</v>
      </c>
    </row>
    <row r="41" spans="1:14" hidden="1">
      <c r="A41" s="6">
        <v>38199</v>
      </c>
      <c r="B41" s="3">
        <f t="shared" si="0"/>
        <v>2413423.52</v>
      </c>
      <c r="C41" s="17">
        <f t="shared" si="3"/>
        <v>93.632628864030011</v>
      </c>
    </row>
    <row r="42" spans="1:14" hidden="1">
      <c r="A42" s="6">
        <v>38230</v>
      </c>
      <c r="B42" s="3">
        <f t="shared" si="0"/>
        <v>2158913.5099999998</v>
      </c>
      <c r="C42" s="17">
        <f t="shared" si="3"/>
        <v>91.558423175355287</v>
      </c>
    </row>
    <row r="43" spans="1:14" hidden="1">
      <c r="A43" s="24">
        <v>38383</v>
      </c>
      <c r="B43" s="3">
        <f t="shared" ref="B43:B48" si="4">+J131</f>
        <v>1846054</v>
      </c>
      <c r="C43" s="25">
        <f t="shared" ref="C43:C48" si="5">+I131</f>
        <v>85.702514806279339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hidden="1">
      <c r="A44" s="24">
        <v>38411</v>
      </c>
      <c r="B44" s="3">
        <f t="shared" si="4"/>
        <v>1846054</v>
      </c>
      <c r="C44" s="25">
        <f t="shared" si="5"/>
        <v>82.817710448923776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hidden="1">
      <c r="A45" s="24">
        <v>38442</v>
      </c>
      <c r="B45" s="3">
        <f t="shared" si="4"/>
        <v>3348057</v>
      </c>
      <c r="C45" s="25">
        <f t="shared" si="5"/>
        <v>71.893288079547659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hidden="1">
      <c r="A46" s="6">
        <v>38447</v>
      </c>
      <c r="B46" s="3">
        <f t="shared" si="4"/>
        <v>2795168.89</v>
      </c>
      <c r="C46" s="25">
        <f t="shared" si="5"/>
        <v>65.981251860203969</v>
      </c>
    </row>
    <row r="47" spans="1:14" hidden="1">
      <c r="A47" s="6">
        <v>38503</v>
      </c>
      <c r="B47" s="3">
        <f t="shared" si="4"/>
        <v>3080799.9</v>
      </c>
      <c r="C47" s="25">
        <f t="shared" si="5"/>
        <v>62.744359431501373</v>
      </c>
      <c r="M47" s="3"/>
      <c r="N47" s="3"/>
    </row>
    <row r="48" spans="1:14" hidden="1">
      <c r="A48" s="6">
        <v>38533</v>
      </c>
      <c r="B48" s="3">
        <f t="shared" si="4"/>
        <v>2486732.69</v>
      </c>
      <c r="C48" s="25">
        <f t="shared" si="5"/>
        <v>64.793868219083521</v>
      </c>
      <c r="D48" s="3"/>
      <c r="H48" s="3"/>
      <c r="I48" s="3"/>
      <c r="J48" s="3"/>
      <c r="K48" s="3"/>
      <c r="L48" s="3"/>
      <c r="M48" s="3"/>
      <c r="N48" s="3"/>
    </row>
    <row r="49" spans="1:15" hidden="1">
      <c r="A49" s="6">
        <v>38595</v>
      </c>
      <c r="B49" s="3">
        <f>+J138</f>
        <v>3100540</v>
      </c>
      <c r="C49" s="25">
        <f t="shared" ref="C49:C64" si="6">+I138</f>
        <v>60.086357349167812</v>
      </c>
      <c r="D49" s="16"/>
      <c r="E49" s="8"/>
      <c r="F49" s="16"/>
      <c r="G49" s="16"/>
      <c r="H49" s="16"/>
      <c r="I49" s="16"/>
      <c r="J49" s="16"/>
      <c r="K49" s="16"/>
      <c r="L49" s="16"/>
      <c r="M49" s="16"/>
      <c r="N49" s="16"/>
    </row>
    <row r="50" spans="1:15" hidden="1">
      <c r="A50" s="24">
        <v>38625</v>
      </c>
      <c r="B50" s="8">
        <v>2497994.9700000002</v>
      </c>
      <c r="C50" s="25">
        <f t="shared" si="6"/>
        <v>62.598516678643065</v>
      </c>
    </row>
    <row r="51" spans="1:15" hidden="1">
      <c r="A51" s="24">
        <v>38656</v>
      </c>
      <c r="B51" s="8">
        <f>+J140</f>
        <v>2594634.87</v>
      </c>
      <c r="C51" s="25">
        <f t="shared" si="6"/>
        <v>64.347277620201695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5" hidden="1">
      <c r="A52" s="6">
        <v>38686</v>
      </c>
      <c r="B52" s="8">
        <f>+J141</f>
        <v>2974068.54</v>
      </c>
      <c r="C52" s="25">
        <f t="shared" si="6"/>
        <v>60.122104235487107</v>
      </c>
    </row>
    <row r="53" spans="1:15" hidden="1">
      <c r="A53" s="6">
        <v>38717</v>
      </c>
      <c r="B53" s="8">
        <f>+J142</f>
        <v>2550598</v>
      </c>
      <c r="C53" s="25">
        <f t="shared" si="6"/>
        <v>66.028868601619635</v>
      </c>
      <c r="D53" s="9"/>
      <c r="E53" s="9"/>
      <c r="F53" s="9"/>
      <c r="G53" s="9"/>
      <c r="H53" s="9"/>
      <c r="I53" s="9"/>
      <c r="J53" s="9"/>
      <c r="K53" s="9"/>
      <c r="L53" s="10"/>
      <c r="M53" s="9"/>
      <c r="N53" s="9"/>
    </row>
    <row r="54" spans="1:15">
      <c r="A54" s="6">
        <v>38748</v>
      </c>
      <c r="B54" s="8">
        <v>2736675</v>
      </c>
      <c r="C54" s="25">
        <f t="shared" si="6"/>
        <v>64.23127105490839</v>
      </c>
    </row>
    <row r="55" spans="1:15">
      <c r="A55" s="6">
        <v>38776</v>
      </c>
      <c r="B55" s="10">
        <f t="shared" ref="B55:B60" si="7">+J144</f>
        <v>2042662</v>
      </c>
      <c r="C55" s="25">
        <f t="shared" si="6"/>
        <v>70.981726559041562</v>
      </c>
    </row>
    <row r="56" spans="1:15">
      <c r="A56" s="6">
        <v>38782</v>
      </c>
      <c r="B56" s="10">
        <f t="shared" si="7"/>
        <v>2898133</v>
      </c>
      <c r="C56" s="25">
        <f t="shared" si="6"/>
        <v>68.757530519163083</v>
      </c>
      <c r="O56" s="14"/>
    </row>
    <row r="57" spans="1:15">
      <c r="A57" s="6">
        <v>38837</v>
      </c>
      <c r="B57" s="10">
        <f t="shared" si="7"/>
        <v>2786036.16</v>
      </c>
      <c r="C57" s="25">
        <f t="shared" si="6"/>
        <v>68.020228913788728</v>
      </c>
      <c r="O57" s="14"/>
    </row>
    <row r="58" spans="1:15">
      <c r="A58" s="6">
        <v>38868</v>
      </c>
      <c r="B58" s="10">
        <f t="shared" si="7"/>
        <v>2786036.16</v>
      </c>
      <c r="C58" s="25">
        <f t="shared" si="6"/>
        <v>63.765505613316741</v>
      </c>
      <c r="O58" s="14"/>
    </row>
    <row r="59" spans="1:15">
      <c r="A59" s="6">
        <v>38898</v>
      </c>
      <c r="B59" s="10">
        <f t="shared" si="7"/>
        <v>2530861.46</v>
      </c>
      <c r="C59" s="25">
        <f t="shared" si="6"/>
        <v>68.699745754404617</v>
      </c>
      <c r="O59" s="14"/>
    </row>
    <row r="60" spans="1:15">
      <c r="A60" s="6">
        <v>38929</v>
      </c>
      <c r="B60" s="10">
        <f t="shared" si="7"/>
        <v>2390434.7200000002</v>
      </c>
      <c r="C60" s="25">
        <f t="shared" si="6"/>
        <v>74.145466108295935</v>
      </c>
    </row>
    <row r="61" spans="1:15">
      <c r="A61" s="6">
        <v>38960</v>
      </c>
      <c r="B61" s="10">
        <v>3188184.08</v>
      </c>
      <c r="C61" s="25">
        <f t="shared" si="6"/>
        <v>69.218223335334073</v>
      </c>
    </row>
    <row r="62" spans="1:15">
      <c r="A62" s="6">
        <v>38990</v>
      </c>
      <c r="B62" s="8">
        <v>2394129</v>
      </c>
      <c r="C62" s="25">
        <f t="shared" si="6"/>
        <v>72.821604030189988</v>
      </c>
    </row>
    <row r="63" spans="1:15">
      <c r="A63" s="6">
        <v>39021</v>
      </c>
      <c r="B63" s="10">
        <v>2972222</v>
      </c>
      <c r="C63" s="25">
        <f t="shared" si="6"/>
        <v>68.768099683563463</v>
      </c>
    </row>
    <row r="64" spans="1:15">
      <c r="A64" s="6">
        <v>39051</v>
      </c>
      <c r="B64" s="10">
        <v>2344109</v>
      </c>
      <c r="C64" s="25">
        <f t="shared" si="6"/>
        <v>76.715810027998188</v>
      </c>
    </row>
    <row r="65" spans="1:3">
      <c r="A65" s="6">
        <v>39082</v>
      </c>
      <c r="B65" s="8">
        <v>2070172.18</v>
      </c>
      <c r="C65" s="25">
        <f t="shared" ref="C65:C71" si="8">+I154</f>
        <v>75.060641762044085</v>
      </c>
    </row>
    <row r="66" spans="1:3">
      <c r="A66" s="6">
        <v>39113</v>
      </c>
      <c r="B66" s="8">
        <v>3253020.45</v>
      </c>
      <c r="C66" s="25">
        <f t="shared" si="8"/>
        <v>74.568677481782416</v>
      </c>
    </row>
    <row r="67" spans="1:3">
      <c r="A67" s="6">
        <v>39141</v>
      </c>
      <c r="B67" s="8">
        <v>2852708.83</v>
      </c>
      <c r="C67" s="25">
        <f t="shared" si="8"/>
        <v>73.562678784561541</v>
      </c>
    </row>
    <row r="68" spans="1:3">
      <c r="A68" s="6">
        <v>39172</v>
      </c>
      <c r="B68" s="8">
        <v>2566358.09</v>
      </c>
      <c r="C68" s="25">
        <f t="shared" si="8"/>
        <v>75.831707571313189</v>
      </c>
    </row>
    <row r="69" spans="1:3">
      <c r="A69" s="6">
        <v>39202</v>
      </c>
      <c r="B69" s="8">
        <f>2392947+310271</f>
        <v>2703218</v>
      </c>
      <c r="C69" s="25">
        <f t="shared" si="8"/>
        <v>79.259393831629893</v>
      </c>
    </row>
    <row r="70" spans="1:3">
      <c r="A70" s="6">
        <v>39233</v>
      </c>
      <c r="B70" s="10">
        <v>2746389.38</v>
      </c>
      <c r="C70" s="25">
        <f t="shared" si="8"/>
        <v>75.966816619643595</v>
      </c>
    </row>
    <row r="71" spans="1:3">
      <c r="A71" s="6">
        <v>39263</v>
      </c>
      <c r="B71" s="10">
        <f t="shared" ref="B71:B76" si="9">J160</f>
        <v>2207760.0499999998</v>
      </c>
      <c r="C71" s="25">
        <f t="shared" si="8"/>
        <v>78.698297470580073</v>
      </c>
    </row>
    <row r="72" spans="1:3">
      <c r="A72" s="6">
        <v>39294</v>
      </c>
      <c r="B72" s="10">
        <f t="shared" si="9"/>
        <v>2403762.29</v>
      </c>
      <c r="C72" s="25">
        <f t="shared" ref="C72:C77" si="10">+I161</f>
        <v>80.814334674220589</v>
      </c>
    </row>
    <row r="73" spans="1:3">
      <c r="A73" s="6">
        <v>39325</v>
      </c>
      <c r="B73" s="10">
        <f t="shared" si="9"/>
        <v>2804285.77</v>
      </c>
      <c r="C73" s="25">
        <f t="shared" si="10"/>
        <v>82.448922197035458</v>
      </c>
    </row>
    <row r="74" spans="1:3">
      <c r="A74" s="6">
        <v>39355</v>
      </c>
      <c r="B74" s="10">
        <f t="shared" si="9"/>
        <v>2548186.1800000002</v>
      </c>
      <c r="C74" s="25">
        <f t="shared" si="10"/>
        <v>85.384292091580321</v>
      </c>
    </row>
    <row r="75" spans="1:3">
      <c r="A75" s="6">
        <v>39386</v>
      </c>
      <c r="B75" s="10">
        <f t="shared" si="9"/>
        <v>2966593.58</v>
      </c>
      <c r="C75" s="25">
        <f t="shared" si="10"/>
        <v>81.888469244944901</v>
      </c>
    </row>
    <row r="76" spans="1:3">
      <c r="A76" s="6">
        <v>39416</v>
      </c>
      <c r="B76" s="10">
        <f t="shared" si="9"/>
        <v>2567879.0499999998</v>
      </c>
      <c r="C76" s="25">
        <f t="shared" si="10"/>
        <v>81.544227548670776</v>
      </c>
    </row>
    <row r="77" spans="1:3">
      <c r="A77" s="6">
        <v>39447</v>
      </c>
      <c r="B77" s="10">
        <f t="shared" ref="B77:B85" si="11">J166</f>
        <v>2567508.67</v>
      </c>
      <c r="C77" s="25">
        <f t="shared" si="10"/>
        <v>82.337511226950426</v>
      </c>
    </row>
    <row r="78" spans="1:3">
      <c r="A78" s="6">
        <v>39478</v>
      </c>
      <c r="B78" s="10">
        <f t="shared" si="11"/>
        <v>2765748.6</v>
      </c>
      <c r="C78" s="25">
        <f t="shared" ref="C78:C85" si="12">+I167</f>
        <v>83.871818631887564</v>
      </c>
    </row>
    <row r="79" spans="1:3">
      <c r="A79" s="6">
        <v>39507</v>
      </c>
      <c r="B79" s="10">
        <f t="shared" si="11"/>
        <v>2774231.23</v>
      </c>
      <c r="C79" s="25">
        <f t="shared" si="12"/>
        <v>77.380311043639864</v>
      </c>
    </row>
    <row r="80" spans="1:3">
      <c r="A80" s="6">
        <v>39538</v>
      </c>
      <c r="B80" s="10">
        <f t="shared" si="11"/>
        <v>3086872.55</v>
      </c>
      <c r="C80" s="25">
        <f t="shared" si="12"/>
        <v>73.633072591617193</v>
      </c>
    </row>
    <row r="81" spans="1:14">
      <c r="A81" s="6">
        <v>39568</v>
      </c>
      <c r="B81" s="10">
        <f t="shared" si="11"/>
        <v>2705523.56</v>
      </c>
      <c r="C81" s="25">
        <f t="shared" si="12"/>
        <v>74.221482938709613</v>
      </c>
    </row>
    <row r="82" spans="1:14">
      <c r="A82" s="6">
        <v>39599</v>
      </c>
      <c r="B82" s="10">
        <f t="shared" si="11"/>
        <v>2592087.7799999998</v>
      </c>
      <c r="C82" s="25">
        <f t="shared" si="12"/>
        <v>70.689441397171947</v>
      </c>
    </row>
    <row r="83" spans="1:14">
      <c r="A83" s="6">
        <v>39629</v>
      </c>
      <c r="B83" s="10">
        <f t="shared" si="11"/>
        <v>2417861.31</v>
      </c>
      <c r="C83" s="25">
        <f t="shared" si="12"/>
        <v>69.239164235352717</v>
      </c>
    </row>
    <row r="84" spans="1:14">
      <c r="A84" s="6">
        <v>39660</v>
      </c>
      <c r="B84" s="10">
        <f t="shared" si="11"/>
        <v>2780803.81</v>
      </c>
      <c r="C84" s="25">
        <f t="shared" si="12"/>
        <v>68.765980653460957</v>
      </c>
    </row>
    <row r="85" spans="1:14">
      <c r="A85" s="6">
        <v>39691</v>
      </c>
      <c r="B85" s="10">
        <f t="shared" si="11"/>
        <v>2608840.86</v>
      </c>
      <c r="C85" s="25">
        <f t="shared" si="12"/>
        <v>64.613985429206096</v>
      </c>
    </row>
    <row r="86" spans="1:14">
      <c r="A86" s="6">
        <v>39721</v>
      </c>
      <c r="B86" s="10">
        <f>J175</f>
        <v>2788317.91</v>
      </c>
      <c r="C86" s="25">
        <f>+I175</f>
        <v>59.227869758276135</v>
      </c>
    </row>
    <row r="87" spans="1:14">
      <c r="A87" s="6">
        <v>39752</v>
      </c>
      <c r="B87" s="10">
        <f>J176</f>
        <v>2661229</v>
      </c>
      <c r="C87" s="25">
        <f>+I176</f>
        <v>56.61826107707855</v>
      </c>
    </row>
    <row r="88" spans="1:14">
      <c r="A88" s="6">
        <v>39782</v>
      </c>
      <c r="B88" s="10">
        <f>J177</f>
        <v>2143621.02</v>
      </c>
      <c r="C88" s="25">
        <f>+I177</f>
        <v>61.953909824980265</v>
      </c>
    </row>
    <row r="89" spans="1:14">
      <c r="A89" s="6">
        <v>39813</v>
      </c>
      <c r="B89" s="10">
        <f>J178</f>
        <v>2789612.46</v>
      </c>
      <c r="C89" s="25">
        <f>+I178</f>
        <v>63.172708392723109</v>
      </c>
    </row>
    <row r="93" spans="1:14" ht="25.5">
      <c r="A93" s="19" t="s">
        <v>52</v>
      </c>
      <c r="B93" s="19"/>
      <c r="C93" s="19"/>
      <c r="D93" s="20" t="s">
        <v>25</v>
      </c>
      <c r="E93" s="19" t="s">
        <v>53</v>
      </c>
      <c r="F93" s="19"/>
      <c r="G93" s="19" t="s">
        <v>54</v>
      </c>
      <c r="H93" s="19" t="s">
        <v>58</v>
      </c>
      <c r="I93" s="19" t="s">
        <v>40</v>
      </c>
      <c r="J93" s="19" t="s">
        <v>39</v>
      </c>
      <c r="K93" s="19"/>
      <c r="L93" s="19"/>
      <c r="M93" s="19"/>
      <c r="N93" s="19"/>
    </row>
    <row r="95" spans="1:14" hidden="1">
      <c r="A95" s="4">
        <v>37287</v>
      </c>
      <c r="B95" s="10"/>
      <c r="C95" s="10"/>
      <c r="D95" s="10">
        <v>5528082</v>
      </c>
      <c r="E95">
        <v>31</v>
      </c>
      <c r="H95" s="28">
        <v>13130156.140000001</v>
      </c>
      <c r="J95" s="3">
        <v>2532493.79</v>
      </c>
      <c r="L95" s="26">
        <v>13130156.140000001</v>
      </c>
    </row>
    <row r="96" spans="1:14" hidden="1">
      <c r="A96" s="4">
        <v>37315</v>
      </c>
      <c r="B96" s="10"/>
      <c r="C96" s="10"/>
      <c r="D96" s="10">
        <v>5035083</v>
      </c>
      <c r="E96">
        <v>28</v>
      </c>
      <c r="H96" s="29">
        <v>13060073.810000001</v>
      </c>
      <c r="J96" s="3">
        <v>2281904.17</v>
      </c>
      <c r="L96" s="27">
        <v>13060073.810000001</v>
      </c>
    </row>
    <row r="97" spans="1:23" hidden="1">
      <c r="A97" s="4">
        <f>+A96+31</f>
        <v>37346</v>
      </c>
      <c r="B97" s="10"/>
      <c r="C97" s="10"/>
      <c r="D97" s="10">
        <v>4524895</v>
      </c>
      <c r="E97">
        <v>31</v>
      </c>
      <c r="F97">
        <f>+E95+E96+E97</f>
        <v>90</v>
      </c>
      <c r="G97" s="16">
        <f>(+D95+D96+D97)/F97</f>
        <v>167645.11111111112</v>
      </c>
      <c r="H97" s="29">
        <v>12076288.33</v>
      </c>
      <c r="I97" s="16">
        <f>+H97/G97</f>
        <v>72.034837460879658</v>
      </c>
      <c r="J97" s="3">
        <v>2780535.72</v>
      </c>
      <c r="L97" s="27">
        <v>12076288.33</v>
      </c>
    </row>
    <row r="98" spans="1:23" hidden="1">
      <c r="A98" s="4">
        <f>+A97+30</f>
        <v>37376</v>
      </c>
      <c r="B98" s="10"/>
      <c r="C98" s="10"/>
      <c r="D98" s="10">
        <v>4906260</v>
      </c>
      <c r="E98">
        <v>30</v>
      </c>
      <c r="F98">
        <f t="shared" ref="F98:F144" si="13">+E96+E97+E98</f>
        <v>89</v>
      </c>
      <c r="G98" s="16">
        <f t="shared" ref="G98:G136" si="14">(+D96+D97+D98)/F98</f>
        <v>162542</v>
      </c>
      <c r="H98" s="29">
        <v>12182944.58</v>
      </c>
      <c r="I98" s="16">
        <f t="shared" ref="I98:I136" si="15">+H98/G98</f>
        <v>74.952594283323691</v>
      </c>
      <c r="J98" s="3">
        <v>2407388.09</v>
      </c>
      <c r="L98" s="27">
        <v>12182944.58</v>
      </c>
    </row>
    <row r="99" spans="1:23" hidden="1">
      <c r="A99" s="4">
        <f>+A98+31</f>
        <v>37407</v>
      </c>
      <c r="B99" s="10"/>
      <c r="C99" s="10"/>
      <c r="D99" s="10">
        <v>5264571</v>
      </c>
      <c r="E99">
        <v>31</v>
      </c>
      <c r="F99">
        <f t="shared" si="13"/>
        <v>92</v>
      </c>
      <c r="G99" s="16">
        <f t="shared" si="14"/>
        <v>159736.15217391305</v>
      </c>
      <c r="H99" s="29">
        <v>13295948.609999999</v>
      </c>
      <c r="I99" s="16">
        <f t="shared" si="15"/>
        <v>83.236940598919702</v>
      </c>
      <c r="J99" s="3">
        <v>2119511.9300000002</v>
      </c>
      <c r="L99" s="27">
        <v>13295948.609999999</v>
      </c>
    </row>
    <row r="100" spans="1:23" hidden="1">
      <c r="A100" s="4">
        <f>+A99+30</f>
        <v>37437</v>
      </c>
      <c r="B100" s="10"/>
      <c r="C100" s="10"/>
      <c r="D100" s="10">
        <v>4751103</v>
      </c>
      <c r="E100">
        <v>30</v>
      </c>
      <c r="F100">
        <f t="shared" si="13"/>
        <v>91</v>
      </c>
      <c r="G100" s="16">
        <f t="shared" si="14"/>
        <v>163977.29670329671</v>
      </c>
      <c r="H100" s="29">
        <v>13864047.68</v>
      </c>
      <c r="I100" s="16">
        <f t="shared" si="15"/>
        <v>84.548580557989325</v>
      </c>
      <c r="J100" s="3">
        <v>2093018</v>
      </c>
      <c r="L100" s="27">
        <v>13864047.68</v>
      </c>
    </row>
    <row r="101" spans="1:23" hidden="1">
      <c r="A101" s="4">
        <f>+A100+31</f>
        <v>37468</v>
      </c>
      <c r="B101" s="10"/>
      <c r="C101" s="10"/>
      <c r="D101" s="10">
        <v>4726782</v>
      </c>
      <c r="E101">
        <v>31</v>
      </c>
      <c r="F101">
        <f t="shared" si="13"/>
        <v>92</v>
      </c>
      <c r="G101" s="16">
        <f t="shared" si="14"/>
        <v>160244.08695652173</v>
      </c>
      <c r="H101" s="29">
        <v>12533669.83</v>
      </c>
      <c r="I101" s="16">
        <f t="shared" si="15"/>
        <v>78.216114354351816</v>
      </c>
      <c r="J101" s="3">
        <v>2810988.44</v>
      </c>
      <c r="L101" s="27">
        <v>12533669.83</v>
      </c>
    </row>
    <row r="102" spans="1:23" hidden="1">
      <c r="A102" s="4">
        <f>+A101+31</f>
        <v>37499</v>
      </c>
      <c r="B102" s="10"/>
      <c r="C102" s="10"/>
      <c r="D102" s="10">
        <v>5081812</v>
      </c>
      <c r="E102">
        <v>31</v>
      </c>
      <c r="F102">
        <f t="shared" si="13"/>
        <v>92</v>
      </c>
      <c r="G102" s="16">
        <f t="shared" si="14"/>
        <v>158257.57608695651</v>
      </c>
      <c r="H102" s="29">
        <v>12684780</v>
      </c>
      <c r="I102" s="16">
        <f t="shared" si="15"/>
        <v>80.152750431550885</v>
      </c>
      <c r="J102" s="3">
        <v>2195988.11</v>
      </c>
      <c r="L102" s="27">
        <v>12684780</v>
      </c>
    </row>
    <row r="103" spans="1:23" hidden="1">
      <c r="A103" s="4">
        <f>+A102+30</f>
        <v>37529</v>
      </c>
      <c r="B103" s="10"/>
      <c r="C103" s="10"/>
      <c r="D103" s="10">
        <v>4650282</v>
      </c>
      <c r="E103">
        <v>30</v>
      </c>
      <c r="F103">
        <f t="shared" si="13"/>
        <v>92</v>
      </c>
      <c r="G103" s="16">
        <f t="shared" si="14"/>
        <v>157161.69565217392</v>
      </c>
      <c r="H103" s="29">
        <v>12356083.66</v>
      </c>
      <c r="I103" s="16">
        <f t="shared" si="15"/>
        <v>78.620198189679471</v>
      </c>
      <c r="J103" s="3">
        <v>2443421.81</v>
      </c>
      <c r="L103" s="27">
        <v>12356083.66</v>
      </c>
    </row>
    <row r="104" spans="1:23" hidden="1">
      <c r="A104" s="4">
        <f>+A103+31</f>
        <v>37560</v>
      </c>
      <c r="B104" s="10"/>
      <c r="C104" s="10"/>
      <c r="D104" s="10">
        <v>5186356</v>
      </c>
      <c r="E104">
        <v>31</v>
      </c>
      <c r="F104">
        <f t="shared" si="13"/>
        <v>92</v>
      </c>
      <c r="G104" s="16">
        <f t="shared" si="14"/>
        <v>162157.0652173913</v>
      </c>
      <c r="H104" s="29">
        <v>12862551.789999999</v>
      </c>
      <c r="I104" s="16">
        <f t="shared" si="15"/>
        <v>79.321562540344331</v>
      </c>
      <c r="J104" s="3">
        <v>2475721.92</v>
      </c>
      <c r="L104" s="27">
        <v>12862551.789999999</v>
      </c>
    </row>
    <row r="105" spans="1:23" hidden="1">
      <c r="A105" s="4">
        <f>+A104+30</f>
        <v>37590</v>
      </c>
      <c r="B105" s="10"/>
      <c r="C105" s="10"/>
      <c r="D105" s="10">
        <v>4706364</v>
      </c>
      <c r="E105">
        <v>30</v>
      </c>
      <c r="F105">
        <f t="shared" si="13"/>
        <v>91</v>
      </c>
      <c r="G105" s="16">
        <f t="shared" si="14"/>
        <v>159813.2087912088</v>
      </c>
      <c r="H105" s="29">
        <v>12662932.880000001</v>
      </c>
      <c r="I105" s="16">
        <f t="shared" si="15"/>
        <v>79.235833982557381</v>
      </c>
      <c r="J105" s="3">
        <v>2204752.85</v>
      </c>
      <c r="L105" s="27">
        <v>12662932.880000001</v>
      </c>
    </row>
    <row r="106" spans="1:23" hidden="1">
      <c r="A106" s="4">
        <f>+A105+31</f>
        <v>37621</v>
      </c>
      <c r="B106" s="10"/>
      <c r="C106" s="10"/>
      <c r="D106" s="10">
        <v>4790089</v>
      </c>
      <c r="E106">
        <v>31</v>
      </c>
      <c r="F106">
        <f t="shared" si="13"/>
        <v>92</v>
      </c>
      <c r="G106" s="16">
        <f t="shared" si="14"/>
        <v>159595.75</v>
      </c>
      <c r="H106" s="29">
        <v>12821942</v>
      </c>
      <c r="I106" s="16">
        <f t="shared" si="15"/>
        <v>80.340121839084063</v>
      </c>
      <c r="J106" s="3">
        <v>2639110</v>
      </c>
      <c r="L106" s="27">
        <v>12821942</v>
      </c>
    </row>
    <row r="107" spans="1:23" hidden="1">
      <c r="A107" s="4">
        <f>+A106+31</f>
        <v>37652</v>
      </c>
      <c r="B107" s="10"/>
      <c r="C107" s="10"/>
      <c r="D107" s="10">
        <v>5310912</v>
      </c>
      <c r="E107">
        <v>31</v>
      </c>
      <c r="F107">
        <f t="shared" si="13"/>
        <v>92</v>
      </c>
      <c r="G107" s="16">
        <f t="shared" si="14"/>
        <v>160949.61956521738</v>
      </c>
      <c r="H107" s="26">
        <v>13488248.42</v>
      </c>
      <c r="I107" s="16">
        <f t="shared" si="15"/>
        <v>83.804164659951326</v>
      </c>
      <c r="J107" s="3">
        <v>2709179.15</v>
      </c>
      <c r="L107" s="26">
        <v>13488248.42</v>
      </c>
    </row>
    <row r="108" spans="1:23" hidden="1">
      <c r="A108" s="4">
        <f>+A107+28</f>
        <v>37680</v>
      </c>
      <c r="B108" s="10"/>
      <c r="C108" s="10"/>
      <c r="D108" s="10">
        <v>4491163</v>
      </c>
      <c r="E108">
        <v>28</v>
      </c>
      <c r="F108">
        <f t="shared" si="13"/>
        <v>90</v>
      </c>
      <c r="G108" s="16">
        <f t="shared" si="14"/>
        <v>162135.15555555557</v>
      </c>
      <c r="H108" s="8">
        <v>13404233.279999999</v>
      </c>
      <c r="I108" s="16">
        <f t="shared" si="15"/>
        <v>82.673207017136036</v>
      </c>
      <c r="J108" s="3">
        <v>2162161.36</v>
      </c>
      <c r="L108" s="8">
        <v>13404233.279999999</v>
      </c>
      <c r="W108" s="10"/>
    </row>
    <row r="109" spans="1:23" hidden="1">
      <c r="A109" s="4">
        <f>+A108+31</f>
        <v>37711</v>
      </c>
      <c r="B109" s="10"/>
      <c r="C109" s="10"/>
      <c r="D109" s="10">
        <v>5019176</v>
      </c>
      <c r="E109">
        <v>31</v>
      </c>
      <c r="F109">
        <f t="shared" si="13"/>
        <v>90</v>
      </c>
      <c r="G109" s="16">
        <f t="shared" si="14"/>
        <v>164680.56666666668</v>
      </c>
      <c r="H109" s="8">
        <v>13106755.4</v>
      </c>
      <c r="I109" s="16">
        <f t="shared" si="15"/>
        <v>79.588962227277577</v>
      </c>
      <c r="J109" s="3">
        <v>2264076</v>
      </c>
      <c r="L109" s="8">
        <v>13106755.4</v>
      </c>
    </row>
    <row r="110" spans="1:23" hidden="1">
      <c r="A110" s="4">
        <f>+A109+30</f>
        <v>37741</v>
      </c>
      <c r="B110" s="10"/>
      <c r="C110" s="10"/>
      <c r="D110" s="10">
        <v>5098530</v>
      </c>
      <c r="E110">
        <v>30</v>
      </c>
      <c r="F110">
        <f t="shared" si="13"/>
        <v>89</v>
      </c>
      <c r="G110" s="16">
        <f t="shared" si="14"/>
        <v>164144.59550561797</v>
      </c>
      <c r="H110" s="8">
        <v>12760998.01</v>
      </c>
      <c r="I110" s="16">
        <f t="shared" si="15"/>
        <v>77.742419545962122</v>
      </c>
      <c r="J110" s="3">
        <v>2250547.29</v>
      </c>
      <c r="L110" s="8">
        <v>12760998.01</v>
      </c>
    </row>
    <row r="111" spans="1:23" hidden="1">
      <c r="A111" s="4">
        <f>+A110+31</f>
        <v>37772</v>
      </c>
      <c r="B111" s="10"/>
      <c r="C111" s="10"/>
      <c r="D111" s="10">
        <v>4948946</v>
      </c>
      <c r="E111">
        <v>31</v>
      </c>
      <c r="F111">
        <f t="shared" si="13"/>
        <v>92</v>
      </c>
      <c r="G111" s="16">
        <f t="shared" si="14"/>
        <v>163767.95652173914</v>
      </c>
      <c r="H111" s="8">
        <v>13086416.18</v>
      </c>
      <c r="I111" s="16">
        <f t="shared" si="15"/>
        <v>79.908282779744297</v>
      </c>
      <c r="J111" s="3">
        <v>2088855</v>
      </c>
      <c r="L111" s="8">
        <v>13086416.18</v>
      </c>
    </row>
    <row r="112" spans="1:23" hidden="1">
      <c r="A112" s="4">
        <f>+A111+30</f>
        <v>37802</v>
      </c>
      <c r="B112" s="10"/>
      <c r="C112" s="10"/>
      <c r="D112" s="10">
        <v>4880976</v>
      </c>
      <c r="E112">
        <v>30</v>
      </c>
      <c r="F112">
        <f t="shared" si="13"/>
        <v>91</v>
      </c>
      <c r="G112" s="16">
        <f t="shared" si="14"/>
        <v>164048.92307692306</v>
      </c>
      <c r="H112" s="8">
        <v>12579894.300000001</v>
      </c>
      <c r="I112" s="16">
        <f t="shared" si="15"/>
        <v>76.683796906738905</v>
      </c>
      <c r="J112" s="3">
        <v>2643712.98</v>
      </c>
      <c r="L112" s="8">
        <v>12579894.300000001</v>
      </c>
    </row>
    <row r="113" spans="1:12" hidden="1">
      <c r="A113" s="4">
        <f>+A112+31</f>
        <v>37833</v>
      </c>
      <c r="B113" s="10"/>
      <c r="C113" s="10"/>
      <c r="D113" s="10">
        <v>5252047</v>
      </c>
      <c r="E113">
        <v>31</v>
      </c>
      <c r="F113">
        <f t="shared" si="13"/>
        <v>92</v>
      </c>
      <c r="G113" s="16">
        <f t="shared" si="14"/>
        <v>163934.44565217392</v>
      </c>
      <c r="H113" s="8">
        <v>12816067.140000001</v>
      </c>
      <c r="I113" s="16">
        <f t="shared" si="15"/>
        <v>78.178000291606494</v>
      </c>
      <c r="J113" s="3">
        <v>2347322</v>
      </c>
      <c r="L113" s="8">
        <v>12816067.140000001</v>
      </c>
    </row>
    <row r="114" spans="1:12" hidden="1">
      <c r="A114" s="4">
        <f>+A113+31</f>
        <v>37864</v>
      </c>
      <c r="B114" s="10"/>
      <c r="C114" s="10"/>
      <c r="D114" s="10">
        <v>5240179</v>
      </c>
      <c r="E114">
        <v>31</v>
      </c>
      <c r="F114">
        <f t="shared" si="13"/>
        <v>92</v>
      </c>
      <c r="G114" s="16">
        <f t="shared" si="14"/>
        <v>167100.02173913043</v>
      </c>
      <c r="H114" s="8">
        <v>12967828.5</v>
      </c>
      <c r="I114" s="16">
        <f t="shared" si="15"/>
        <v>77.605187390369295</v>
      </c>
      <c r="J114" s="3">
        <v>2222446</v>
      </c>
      <c r="L114" s="8">
        <v>12967828.5</v>
      </c>
    </row>
    <row r="115" spans="1:12" hidden="1">
      <c r="A115" s="4">
        <f>+A114+30</f>
        <v>37894</v>
      </c>
      <c r="B115" s="10"/>
      <c r="C115" s="10"/>
      <c r="D115" s="10">
        <v>5095409</v>
      </c>
      <c r="E115">
        <v>30</v>
      </c>
      <c r="F115">
        <f t="shared" si="13"/>
        <v>92</v>
      </c>
      <c r="G115" s="16">
        <f t="shared" si="14"/>
        <v>169430.8152173913</v>
      </c>
      <c r="H115" s="8">
        <v>12807032.51</v>
      </c>
      <c r="I115" s="16">
        <f t="shared" si="15"/>
        <v>75.588566894208142</v>
      </c>
      <c r="J115" s="8">
        <v>2198370.7999999998</v>
      </c>
      <c r="L115" s="8">
        <v>12807032.51</v>
      </c>
    </row>
    <row r="116" spans="1:12" hidden="1">
      <c r="A116" s="4">
        <f>+A115+31</f>
        <v>37925</v>
      </c>
      <c r="B116" s="10"/>
      <c r="C116" s="10"/>
      <c r="D116" s="10">
        <v>5473339</v>
      </c>
      <c r="E116">
        <v>31</v>
      </c>
      <c r="F116">
        <f t="shared" si="13"/>
        <v>92</v>
      </c>
      <c r="G116" s="16">
        <f t="shared" si="14"/>
        <v>171836.16304347827</v>
      </c>
      <c r="H116" s="8">
        <v>12846459.93</v>
      </c>
      <c r="I116" s="16">
        <f t="shared" si="15"/>
        <v>74.759932382507671</v>
      </c>
      <c r="J116" s="3">
        <v>2546972</v>
      </c>
      <c r="L116" s="8">
        <v>12846459.93</v>
      </c>
    </row>
    <row r="117" spans="1:12" hidden="1">
      <c r="A117" s="4">
        <f>+A116+30</f>
        <v>37955</v>
      </c>
      <c r="B117" s="10"/>
      <c r="C117" s="10"/>
      <c r="D117" s="10">
        <v>5363371</v>
      </c>
      <c r="E117">
        <v>30</v>
      </c>
      <c r="F117">
        <f t="shared" si="13"/>
        <v>91</v>
      </c>
      <c r="G117" s="16">
        <f t="shared" si="14"/>
        <v>175078.23076923078</v>
      </c>
      <c r="H117" s="8">
        <v>14556085.26</v>
      </c>
      <c r="I117" s="16">
        <f t="shared" si="15"/>
        <v>83.140463529050962</v>
      </c>
      <c r="J117" s="3">
        <v>1910505.98</v>
      </c>
      <c r="L117" s="8">
        <v>14556085.26</v>
      </c>
    </row>
    <row r="118" spans="1:12" hidden="1">
      <c r="A118" s="4">
        <f>+A117+31</f>
        <v>37986</v>
      </c>
      <c r="B118" s="10"/>
      <c r="C118" s="10"/>
      <c r="D118" s="10">
        <v>5806701</v>
      </c>
      <c r="E118">
        <v>31</v>
      </c>
      <c r="F118">
        <f t="shared" si="13"/>
        <v>92</v>
      </c>
      <c r="G118" s="16">
        <f t="shared" si="14"/>
        <v>180906.64130434784</v>
      </c>
      <c r="H118" s="8">
        <v>14130837.140000001</v>
      </c>
      <c r="I118" s="16">
        <f t="shared" si="15"/>
        <v>78.111212712346045</v>
      </c>
      <c r="J118" s="3">
        <v>2384367.77</v>
      </c>
      <c r="L118" s="8">
        <v>14130837.140000001</v>
      </c>
    </row>
    <row r="119" spans="1:12" hidden="1">
      <c r="A119" s="4">
        <f>+A118+31</f>
        <v>38017</v>
      </c>
      <c r="B119" s="10"/>
      <c r="C119" s="10"/>
      <c r="D119" s="10">
        <v>5440585</v>
      </c>
      <c r="E119">
        <v>31</v>
      </c>
      <c r="F119">
        <f t="shared" si="13"/>
        <v>92</v>
      </c>
      <c r="G119" s="16">
        <f t="shared" si="14"/>
        <v>180550.61956521738</v>
      </c>
      <c r="H119" s="8">
        <v>15090133.279999999</v>
      </c>
      <c r="I119" s="16">
        <f t="shared" si="15"/>
        <v>83.578407630715631</v>
      </c>
      <c r="J119" s="3">
        <v>2187700</v>
      </c>
      <c r="L119" s="8">
        <v>15090133.279999999</v>
      </c>
    </row>
    <row r="120" spans="1:12" hidden="1">
      <c r="A120" s="4">
        <f>+A119+29</f>
        <v>38046</v>
      </c>
      <c r="B120" s="10"/>
      <c r="C120" s="10"/>
      <c r="D120" s="10">
        <v>4930739</v>
      </c>
      <c r="E120">
        <v>29</v>
      </c>
      <c r="F120">
        <f t="shared" si="13"/>
        <v>91</v>
      </c>
      <c r="G120" s="16">
        <f t="shared" si="14"/>
        <v>177780.49450549451</v>
      </c>
      <c r="H120" s="8">
        <v>15506270.59</v>
      </c>
      <c r="I120" s="16">
        <f t="shared" si="15"/>
        <v>87.221439186180021</v>
      </c>
      <c r="J120" s="3">
        <v>2173402.7400000002</v>
      </c>
      <c r="L120" s="8">
        <v>15506270.59</v>
      </c>
    </row>
    <row r="121" spans="1:12" hidden="1">
      <c r="A121" s="4">
        <f>+A120+31</f>
        <v>38077</v>
      </c>
      <c r="B121" s="10"/>
      <c r="C121" s="10"/>
      <c r="D121" s="10">
        <v>5254111</v>
      </c>
      <c r="E121">
        <v>31</v>
      </c>
      <c r="F121">
        <f t="shared" si="13"/>
        <v>91</v>
      </c>
      <c r="G121" s="16">
        <f t="shared" si="14"/>
        <v>171708.07692307694</v>
      </c>
      <c r="H121" s="8">
        <v>13503649.35</v>
      </c>
      <c r="I121" s="16">
        <f t="shared" si="15"/>
        <v>78.643064391487329</v>
      </c>
      <c r="J121" s="3">
        <v>3162999.48</v>
      </c>
      <c r="L121" s="8">
        <v>13503649.35</v>
      </c>
    </row>
    <row r="122" spans="1:12" hidden="1">
      <c r="A122" s="4">
        <f>+A121+30</f>
        <v>38107</v>
      </c>
      <c r="B122" s="10"/>
      <c r="C122" s="10"/>
      <c r="D122" s="10">
        <v>5443315</v>
      </c>
      <c r="E122">
        <v>31</v>
      </c>
      <c r="F122">
        <f t="shared" si="13"/>
        <v>91</v>
      </c>
      <c r="G122" s="16">
        <f t="shared" si="14"/>
        <v>171738.07692307694</v>
      </c>
      <c r="H122" s="8">
        <v>14774288.26</v>
      </c>
      <c r="I122" s="16">
        <f t="shared" si="15"/>
        <v>86.02802898868805</v>
      </c>
      <c r="J122" s="3">
        <v>2229481.87</v>
      </c>
      <c r="L122" s="8">
        <v>14774288.26</v>
      </c>
    </row>
    <row r="123" spans="1:12" hidden="1">
      <c r="A123" s="4">
        <f>+A122+31</f>
        <v>38138</v>
      </c>
      <c r="B123" s="10"/>
      <c r="C123" s="10"/>
      <c r="D123" s="10">
        <v>5183928</v>
      </c>
      <c r="E123">
        <v>31</v>
      </c>
      <c r="F123">
        <f t="shared" si="13"/>
        <v>93</v>
      </c>
      <c r="G123" s="16">
        <f t="shared" si="14"/>
        <v>170767.24731182796</v>
      </c>
      <c r="H123" s="8">
        <v>15492668.41</v>
      </c>
      <c r="I123" s="16">
        <f t="shared" si="15"/>
        <v>90.723886775019309</v>
      </c>
      <c r="J123" s="3">
        <v>2455342</v>
      </c>
      <c r="L123" s="8">
        <v>15492668.41</v>
      </c>
    </row>
    <row r="124" spans="1:12" hidden="1">
      <c r="A124" s="4">
        <f>+A123+30</f>
        <v>38168</v>
      </c>
      <c r="B124" s="10"/>
      <c r="C124" s="10"/>
      <c r="D124" s="10">
        <v>5175406</v>
      </c>
      <c r="E124">
        <v>30</v>
      </c>
      <c r="F124">
        <f t="shared" si="13"/>
        <v>92</v>
      </c>
      <c r="G124" s="16">
        <f t="shared" si="14"/>
        <v>171767.92391304349</v>
      </c>
      <c r="H124" s="8">
        <v>15091822.449999999</v>
      </c>
      <c r="I124" s="16">
        <f t="shared" si="15"/>
        <v>87.861703781435622</v>
      </c>
      <c r="J124" s="3">
        <v>3075292.64</v>
      </c>
      <c r="L124" s="8">
        <v>15091822.449999999</v>
      </c>
    </row>
    <row r="125" spans="1:12" hidden="1">
      <c r="A125" s="4">
        <f>+A124+31</f>
        <v>38199</v>
      </c>
      <c r="B125" s="10"/>
      <c r="C125" s="10"/>
      <c r="D125" s="10">
        <v>4845161</v>
      </c>
      <c r="E125">
        <v>31</v>
      </c>
      <c r="F125">
        <f t="shared" si="13"/>
        <v>92</v>
      </c>
      <c r="G125" s="16">
        <f t="shared" si="14"/>
        <v>165266.25</v>
      </c>
      <c r="H125" s="8">
        <v>15474313.449999999</v>
      </c>
      <c r="I125" s="16">
        <f t="shared" si="15"/>
        <v>93.632628864030011</v>
      </c>
      <c r="J125" s="3">
        <v>2413423.52</v>
      </c>
      <c r="L125" s="8">
        <v>15474313.449999999</v>
      </c>
    </row>
    <row r="126" spans="1:12" hidden="1">
      <c r="A126" s="4">
        <f>+A125+31</f>
        <v>38230</v>
      </c>
      <c r="B126" s="10"/>
      <c r="C126" s="10"/>
      <c r="D126" s="10">
        <v>5585252</v>
      </c>
      <c r="E126">
        <v>31</v>
      </c>
      <c r="F126">
        <f t="shared" si="13"/>
        <v>92</v>
      </c>
      <c r="G126" s="16">
        <f t="shared" si="14"/>
        <v>169628.46739130435</v>
      </c>
      <c r="H126" s="8">
        <v>15530915</v>
      </c>
      <c r="I126" s="16">
        <f t="shared" si="15"/>
        <v>91.558423175355287</v>
      </c>
      <c r="J126" s="3">
        <v>2158913.5099999998</v>
      </c>
      <c r="L126" s="8">
        <v>15530915</v>
      </c>
    </row>
    <row r="127" spans="1:12" hidden="1">
      <c r="A127" s="4">
        <f>+A126+30</f>
        <v>38260</v>
      </c>
      <c r="B127" s="10"/>
      <c r="C127" s="10"/>
      <c r="D127" s="10">
        <v>4761824</v>
      </c>
      <c r="E127">
        <v>30</v>
      </c>
      <c r="F127">
        <f t="shared" si="13"/>
        <v>92</v>
      </c>
      <c r="G127" s="16">
        <f t="shared" si="14"/>
        <v>165133.01086956522</v>
      </c>
      <c r="H127" s="8">
        <v>15409223</v>
      </c>
      <c r="I127" s="16">
        <f t="shared" si="15"/>
        <v>93.314007410495236</v>
      </c>
      <c r="J127" s="3">
        <v>2275993</v>
      </c>
      <c r="L127" s="8">
        <v>15409223</v>
      </c>
    </row>
    <row r="128" spans="1:12" hidden="1">
      <c r="A128" s="4">
        <f>+A127+31</f>
        <v>38291</v>
      </c>
      <c r="B128" s="10"/>
      <c r="C128" s="10"/>
      <c r="D128" s="10">
        <v>4976871</v>
      </c>
      <c r="E128">
        <v>31</v>
      </c>
      <c r="F128">
        <f t="shared" si="13"/>
        <v>92</v>
      </c>
      <c r="G128" s="16">
        <f t="shared" si="14"/>
        <v>166564.64130434784</v>
      </c>
      <c r="H128" s="8">
        <v>16619980.85</v>
      </c>
      <c r="I128" s="16">
        <f>+H128/G128</f>
        <v>99.780966235396136</v>
      </c>
      <c r="J128" s="3">
        <v>2186581</v>
      </c>
      <c r="L128" s="8">
        <v>16619980.85</v>
      </c>
    </row>
    <row r="129" spans="1:12" hidden="1">
      <c r="A129" s="4">
        <f>+A128+30</f>
        <v>38321</v>
      </c>
      <c r="B129" s="10"/>
      <c r="C129" s="10"/>
      <c r="D129" s="10">
        <v>4796851</v>
      </c>
      <c r="E129">
        <v>30</v>
      </c>
      <c r="F129">
        <f t="shared" si="13"/>
        <v>91</v>
      </c>
      <c r="G129" s="16">
        <f t="shared" si="14"/>
        <v>159731.27472527474</v>
      </c>
      <c r="H129" s="8">
        <v>13248929.84</v>
      </c>
      <c r="I129" s="16">
        <f t="shared" si="15"/>
        <v>82.945120564442504</v>
      </c>
      <c r="J129" s="8">
        <v>2604319</v>
      </c>
      <c r="L129" s="8">
        <v>13248929.84</v>
      </c>
    </row>
    <row r="130" spans="1:12" hidden="1">
      <c r="A130" s="4">
        <f>+A129+31</f>
        <v>38352</v>
      </c>
      <c r="B130" s="10"/>
      <c r="C130" s="10"/>
      <c r="D130" s="10">
        <v>4797226</v>
      </c>
      <c r="E130">
        <v>31</v>
      </c>
      <c r="F130">
        <f t="shared" si="13"/>
        <v>92</v>
      </c>
      <c r="G130" s="16">
        <f t="shared" si="14"/>
        <v>158379.86956521738</v>
      </c>
      <c r="H130" s="8">
        <v>13141097.85</v>
      </c>
      <c r="I130" s="16">
        <f t="shared" si="15"/>
        <v>82.972020914493697</v>
      </c>
      <c r="J130" s="3">
        <v>2368696</v>
      </c>
      <c r="L130" s="8">
        <v>13141097.85</v>
      </c>
    </row>
    <row r="131" spans="1:12" hidden="1">
      <c r="A131" s="4">
        <v>38383</v>
      </c>
      <c r="B131" s="10"/>
      <c r="C131" s="10"/>
      <c r="D131" s="10">
        <v>4887110</v>
      </c>
      <c r="E131" s="10">
        <v>31</v>
      </c>
      <c r="F131">
        <f t="shared" si="13"/>
        <v>92</v>
      </c>
      <c r="G131" s="16">
        <f t="shared" si="14"/>
        <v>157404.20652173914</v>
      </c>
      <c r="H131" s="8">
        <v>13489936.34</v>
      </c>
      <c r="I131" s="16">
        <f t="shared" si="15"/>
        <v>85.702514806279339</v>
      </c>
      <c r="J131" s="3">
        <v>1846054</v>
      </c>
      <c r="L131" s="8">
        <v>13489936.34</v>
      </c>
    </row>
    <row r="132" spans="1:12" hidden="1">
      <c r="A132" s="4">
        <v>38411</v>
      </c>
      <c r="B132" s="10"/>
      <c r="C132" s="10"/>
      <c r="D132" s="10">
        <v>5857523</v>
      </c>
      <c r="E132" s="10">
        <v>28</v>
      </c>
      <c r="F132">
        <f t="shared" si="13"/>
        <v>90</v>
      </c>
      <c r="G132" s="16">
        <f t="shared" si="14"/>
        <v>172687.32222222222</v>
      </c>
      <c r="H132" s="8">
        <v>14301568.65</v>
      </c>
      <c r="I132" s="16">
        <f t="shared" si="15"/>
        <v>82.817710448923776</v>
      </c>
      <c r="J132" s="3">
        <v>1846054</v>
      </c>
      <c r="L132" s="8">
        <v>14301568.65</v>
      </c>
    </row>
    <row r="133" spans="1:12" hidden="1">
      <c r="A133" s="4">
        <v>38442</v>
      </c>
      <c r="B133" s="10"/>
      <c r="C133" s="10"/>
      <c r="D133" s="10">
        <v>6909286</v>
      </c>
      <c r="E133" s="10">
        <v>31</v>
      </c>
      <c r="F133">
        <f t="shared" si="13"/>
        <v>90</v>
      </c>
      <c r="G133" s="16">
        <f t="shared" si="14"/>
        <v>196154.65555555557</v>
      </c>
      <c r="H133" s="8">
        <v>14102203.16</v>
      </c>
      <c r="I133" s="16">
        <f t="shared" si="15"/>
        <v>71.893288079547659</v>
      </c>
      <c r="J133" s="3">
        <v>3348057</v>
      </c>
      <c r="L133" s="8">
        <v>14102203.16</v>
      </c>
    </row>
    <row r="134" spans="1:12" hidden="1">
      <c r="A134" s="4">
        <v>38472</v>
      </c>
      <c r="B134" s="10"/>
      <c r="C134" s="10"/>
      <c r="D134" s="10">
        <v>6139048</v>
      </c>
      <c r="E134" s="10">
        <v>30</v>
      </c>
      <c r="F134">
        <f t="shared" si="13"/>
        <v>89</v>
      </c>
      <c r="G134" s="16">
        <f t="shared" si="14"/>
        <v>212425.35955056178</v>
      </c>
      <c r="H134" s="8">
        <v>14016091.15</v>
      </c>
      <c r="I134" s="16">
        <f t="shared" si="15"/>
        <v>65.981251860203969</v>
      </c>
      <c r="J134" s="3">
        <v>2795168.89</v>
      </c>
      <c r="L134" s="8">
        <v>14016091.15</v>
      </c>
    </row>
    <row r="135" spans="1:12" hidden="1">
      <c r="A135" s="4">
        <v>38503</v>
      </c>
      <c r="B135" s="10"/>
      <c r="C135" s="10"/>
      <c r="D135" s="10">
        <v>5670515</v>
      </c>
      <c r="E135" s="10">
        <v>31</v>
      </c>
      <c r="F135">
        <f t="shared" si="13"/>
        <v>92</v>
      </c>
      <c r="G135" s="16">
        <f t="shared" si="14"/>
        <v>203465.75</v>
      </c>
      <c r="H135" s="8">
        <v>12766328.15</v>
      </c>
      <c r="I135" s="16">
        <f t="shared" si="15"/>
        <v>62.744359431501373</v>
      </c>
      <c r="J135" s="3">
        <v>3080799.9</v>
      </c>
      <c r="L135" s="8">
        <v>12766328.15</v>
      </c>
    </row>
    <row r="136" spans="1:12" hidden="1">
      <c r="A136" s="4">
        <v>38533</v>
      </c>
      <c r="B136" s="10"/>
      <c r="C136" s="10"/>
      <c r="D136" s="10">
        <v>6396973</v>
      </c>
      <c r="E136" s="10">
        <v>30</v>
      </c>
      <c r="F136">
        <f t="shared" si="13"/>
        <v>91</v>
      </c>
      <c r="G136" s="16">
        <f t="shared" si="14"/>
        <v>200071.82417582418</v>
      </c>
      <c r="H136" s="8">
        <v>12963427.41</v>
      </c>
      <c r="I136" s="16">
        <f t="shared" si="15"/>
        <v>64.793868219083521</v>
      </c>
      <c r="J136" s="3">
        <v>2486732.69</v>
      </c>
      <c r="L136" s="8">
        <v>12963427.41</v>
      </c>
    </row>
    <row r="137" spans="1:12" hidden="1">
      <c r="A137" s="4">
        <v>38564</v>
      </c>
      <c r="B137" s="8"/>
      <c r="C137" s="10"/>
      <c r="D137" s="10">
        <v>6373642</v>
      </c>
      <c r="E137" s="10">
        <v>31</v>
      </c>
      <c r="F137">
        <f t="shared" si="13"/>
        <v>92</v>
      </c>
      <c r="G137" s="16">
        <f t="shared" ref="G137:G144" si="16">(+D135+D136+D137)/F137</f>
        <v>200447.0652173913</v>
      </c>
      <c r="H137" s="8">
        <v>13865109.189999999</v>
      </c>
      <c r="I137" s="16">
        <f t="shared" ref="I137:I146" si="17">+H137/G137</f>
        <v>69.17092637381765</v>
      </c>
      <c r="J137" s="3">
        <v>2150266</v>
      </c>
      <c r="L137" s="8">
        <v>13865109.189999999</v>
      </c>
    </row>
    <row r="138" spans="1:12" hidden="1">
      <c r="A138" s="4">
        <v>38595</v>
      </c>
      <c r="B138" s="8"/>
      <c r="C138" s="10"/>
      <c r="D138" s="10">
        <v>6394310</v>
      </c>
      <c r="E138" s="10">
        <v>31</v>
      </c>
      <c r="F138">
        <f t="shared" si="13"/>
        <v>92</v>
      </c>
      <c r="G138" s="16">
        <f t="shared" si="16"/>
        <v>208314.40217391305</v>
      </c>
      <c r="H138" s="8">
        <v>12516853.609999999</v>
      </c>
      <c r="I138" s="16">
        <f t="shared" si="17"/>
        <v>60.086357349167812</v>
      </c>
      <c r="J138" s="3">
        <v>3100540</v>
      </c>
      <c r="L138" s="8">
        <v>12516853.609999999</v>
      </c>
    </row>
    <row r="139" spans="1:12" hidden="1">
      <c r="A139" s="4">
        <v>38625</v>
      </c>
      <c r="D139" s="10">
        <v>6263932</v>
      </c>
      <c r="E139" s="10">
        <v>30</v>
      </c>
      <c r="F139">
        <f t="shared" si="13"/>
        <v>92</v>
      </c>
      <c r="G139" s="16">
        <f t="shared" si="16"/>
        <v>206868.30434782608</v>
      </c>
      <c r="H139" s="8">
        <v>12949649</v>
      </c>
      <c r="I139" s="16">
        <f t="shared" si="17"/>
        <v>62.598516678643065</v>
      </c>
      <c r="J139" s="3">
        <v>2497994.9700000002</v>
      </c>
    </row>
    <row r="140" spans="1:12" hidden="1">
      <c r="A140" s="4">
        <v>38656</v>
      </c>
      <c r="D140" s="10">
        <v>6149604</v>
      </c>
      <c r="E140" s="10">
        <v>31</v>
      </c>
      <c r="F140">
        <f t="shared" si="13"/>
        <v>92</v>
      </c>
      <c r="G140" s="16">
        <f t="shared" si="16"/>
        <v>204433.10869565216</v>
      </c>
      <c r="H140" s="8">
        <v>13154714</v>
      </c>
      <c r="I140" s="16">
        <f t="shared" si="17"/>
        <v>64.347277620201695</v>
      </c>
      <c r="J140" s="8">
        <v>2594634.87</v>
      </c>
    </row>
    <row r="141" spans="1:12" hidden="1">
      <c r="A141" s="4">
        <v>38686</v>
      </c>
      <c r="D141" s="10">
        <v>6904549</v>
      </c>
      <c r="E141" s="10">
        <v>30</v>
      </c>
      <c r="F141">
        <f t="shared" si="13"/>
        <v>91</v>
      </c>
      <c r="G141" s="16">
        <f t="shared" si="16"/>
        <v>212286.64835164836</v>
      </c>
      <c r="H141" s="8">
        <v>12763120</v>
      </c>
      <c r="I141" s="16">
        <f t="shared" si="17"/>
        <v>60.122104235487107</v>
      </c>
      <c r="J141" s="8">
        <v>2974068.54</v>
      </c>
    </row>
    <row r="142" spans="1:12" hidden="1">
      <c r="A142" s="4">
        <v>38717</v>
      </c>
      <c r="D142" s="10">
        <v>6304457</v>
      </c>
      <c r="E142" s="10">
        <v>31</v>
      </c>
      <c r="F142">
        <f t="shared" si="13"/>
        <v>92</v>
      </c>
      <c r="G142" s="16">
        <f t="shared" si="16"/>
        <v>210419.67391304349</v>
      </c>
      <c r="H142" s="8">
        <v>13893773</v>
      </c>
      <c r="I142" s="16">
        <f t="shared" si="17"/>
        <v>66.028868601619635</v>
      </c>
      <c r="J142" s="8">
        <v>2550598</v>
      </c>
    </row>
    <row r="143" spans="1:12">
      <c r="A143" s="4">
        <v>38748</v>
      </c>
      <c r="D143" s="10">
        <v>6252608</v>
      </c>
      <c r="E143" s="10">
        <v>31</v>
      </c>
      <c r="F143">
        <f t="shared" si="13"/>
        <v>92</v>
      </c>
      <c r="G143" s="16">
        <f t="shared" si="16"/>
        <v>211539.28260869565</v>
      </c>
      <c r="H143" s="8">
        <v>13587437</v>
      </c>
      <c r="I143" s="16">
        <f t="shared" si="17"/>
        <v>64.23127105490839</v>
      </c>
      <c r="J143" s="8">
        <v>2498449.46</v>
      </c>
    </row>
    <row r="144" spans="1:12">
      <c r="A144" s="4">
        <v>38776</v>
      </c>
      <c r="D144" s="10">
        <v>5573401</v>
      </c>
      <c r="E144" s="10">
        <v>28</v>
      </c>
      <c r="F144">
        <f t="shared" si="13"/>
        <v>90</v>
      </c>
      <c r="G144" s="16">
        <f t="shared" si="16"/>
        <v>201449.62222222221</v>
      </c>
      <c r="H144" s="8">
        <v>14299242</v>
      </c>
      <c r="I144" s="16">
        <f t="shared" si="17"/>
        <v>70.981726559041562</v>
      </c>
      <c r="J144" s="8">
        <v>2042662</v>
      </c>
    </row>
    <row r="145" spans="1:13">
      <c r="A145" s="4">
        <v>38807</v>
      </c>
      <c r="D145" s="10">
        <v>6488140</v>
      </c>
      <c r="E145" s="10">
        <v>31</v>
      </c>
      <c r="F145">
        <f t="shared" ref="F145:F150" si="18">+E143+E144+E145</f>
        <v>90</v>
      </c>
      <c r="G145" s="16">
        <f t="shared" ref="G145:G150" si="19">(+D143+D144+D145)/F145</f>
        <v>203490.54444444444</v>
      </c>
      <c r="H145" s="8">
        <v>13991507.32</v>
      </c>
      <c r="I145" s="16">
        <f t="shared" si="17"/>
        <v>68.757530519163083</v>
      </c>
      <c r="J145" s="8">
        <v>2898133</v>
      </c>
    </row>
    <row r="146" spans="1:13">
      <c r="A146" s="4">
        <v>38837</v>
      </c>
      <c r="D146" s="10">
        <v>5638616</v>
      </c>
      <c r="E146" s="10">
        <v>30</v>
      </c>
      <c r="F146">
        <f t="shared" si="18"/>
        <v>89</v>
      </c>
      <c r="G146" s="16">
        <f t="shared" si="19"/>
        <v>198878.16853932585</v>
      </c>
      <c r="H146" s="8">
        <v>13527738.550000001</v>
      </c>
      <c r="I146" s="16">
        <f t="shared" si="17"/>
        <v>68.020228913788728</v>
      </c>
      <c r="J146" s="8">
        <v>2786036.16</v>
      </c>
    </row>
    <row r="147" spans="1:13">
      <c r="A147" s="4">
        <v>38868</v>
      </c>
      <c r="D147" s="10">
        <v>5688647</v>
      </c>
      <c r="E147" s="10">
        <v>31</v>
      </c>
      <c r="F147">
        <f t="shared" si="18"/>
        <v>92</v>
      </c>
      <c r="G147" s="16">
        <f t="shared" si="19"/>
        <v>193645.6847826087</v>
      </c>
      <c r="H147" s="8">
        <v>12347915</v>
      </c>
      <c r="I147" s="16">
        <f t="shared" ref="I147:I157" si="20">+H147/G147</f>
        <v>63.765505613316741</v>
      </c>
      <c r="J147" s="8">
        <v>2786036.16</v>
      </c>
    </row>
    <row r="148" spans="1:13">
      <c r="A148" s="4">
        <v>38898</v>
      </c>
      <c r="D148" s="10">
        <v>5596924</v>
      </c>
      <c r="E148" s="10">
        <v>30</v>
      </c>
      <c r="F148">
        <f t="shared" si="18"/>
        <v>91</v>
      </c>
      <c r="G148" s="16">
        <f t="shared" si="19"/>
        <v>185980.07692307694</v>
      </c>
      <c r="H148" s="8">
        <v>12776784</v>
      </c>
      <c r="I148" s="16">
        <f t="shared" si="20"/>
        <v>68.699745754404617</v>
      </c>
      <c r="J148" s="8">
        <v>2530861.46</v>
      </c>
    </row>
    <row r="149" spans="1:13">
      <c r="A149" s="4">
        <v>38929</v>
      </c>
      <c r="D149" s="10">
        <v>5673771</v>
      </c>
      <c r="E149" s="10">
        <v>31</v>
      </c>
      <c r="F149">
        <f t="shared" si="18"/>
        <v>92</v>
      </c>
      <c r="G149" s="16">
        <f t="shared" si="19"/>
        <v>184340.67391304349</v>
      </c>
      <c r="H149" s="8">
        <v>13668025.189999999</v>
      </c>
      <c r="I149" s="16">
        <f t="shared" si="20"/>
        <v>74.145466108295935</v>
      </c>
      <c r="J149" s="8">
        <v>2390434.7200000002</v>
      </c>
    </row>
    <row r="150" spans="1:13">
      <c r="A150" s="4">
        <v>38960</v>
      </c>
      <c r="D150" s="10">
        <v>6574372</v>
      </c>
      <c r="E150" s="10">
        <v>31</v>
      </c>
      <c r="F150">
        <f t="shared" si="18"/>
        <v>92</v>
      </c>
      <c r="G150" s="16">
        <f t="shared" si="19"/>
        <v>193968.11956521738</v>
      </c>
      <c r="H150" s="8">
        <v>13426128.619999999</v>
      </c>
      <c r="I150" s="16">
        <f t="shared" si="20"/>
        <v>69.218223335334073</v>
      </c>
      <c r="J150" s="8">
        <v>3188184.08</v>
      </c>
    </row>
    <row r="151" spans="1:13">
      <c r="A151" s="4">
        <v>38990</v>
      </c>
      <c r="D151" s="10">
        <v>4769417</v>
      </c>
      <c r="E151" s="10">
        <v>30</v>
      </c>
      <c r="F151">
        <f t="shared" ref="F151:F156" si="21">+E149+E150+E151</f>
        <v>92</v>
      </c>
      <c r="G151" s="16">
        <f t="shared" ref="G151:G156" si="22">(+D149+D150+D151)/F151</f>
        <v>184973.47826086957</v>
      </c>
      <c r="H151" s="8">
        <f>14547065.39-614600-462400</f>
        <v>13470065.390000001</v>
      </c>
      <c r="I151" s="16">
        <f t="shared" si="20"/>
        <v>72.821604030189988</v>
      </c>
      <c r="J151" s="8">
        <v>2394129</v>
      </c>
    </row>
    <row r="152" spans="1:13">
      <c r="A152" s="4">
        <v>39020</v>
      </c>
      <c r="D152" s="10">
        <v>6091302</v>
      </c>
      <c r="E152" s="10">
        <v>31</v>
      </c>
      <c r="F152">
        <f t="shared" si="21"/>
        <v>92</v>
      </c>
      <c r="G152" s="16">
        <f t="shared" si="22"/>
        <v>189511.85869565216</v>
      </c>
      <c r="H152" s="8">
        <f>14109370.39-614600-462400</f>
        <v>13032370.390000001</v>
      </c>
      <c r="I152" s="16">
        <f t="shared" si="20"/>
        <v>68.768099683563463</v>
      </c>
      <c r="J152" s="8">
        <v>2972222</v>
      </c>
    </row>
    <row r="153" spans="1:13">
      <c r="A153" s="4">
        <v>39051</v>
      </c>
      <c r="D153" s="10">
        <v>5595706</v>
      </c>
      <c r="E153" s="10">
        <v>30</v>
      </c>
      <c r="F153">
        <f t="shared" si="21"/>
        <v>91</v>
      </c>
      <c r="G153" s="16">
        <f t="shared" si="22"/>
        <v>180839.83516483515</v>
      </c>
      <c r="H153" s="8">
        <f>14950274.44-614600-462400</f>
        <v>13873274.439999999</v>
      </c>
      <c r="I153" s="16">
        <f t="shared" si="20"/>
        <v>76.715810027998188</v>
      </c>
      <c r="J153" s="8">
        <v>2344109</v>
      </c>
    </row>
    <row r="154" spans="1:13">
      <c r="A154" s="4">
        <v>39082</v>
      </c>
      <c r="D154" s="10">
        <v>6037225</v>
      </c>
      <c r="E154" s="10">
        <v>31</v>
      </c>
      <c r="F154">
        <f t="shared" si="21"/>
        <v>92</v>
      </c>
      <c r="G154" s="16">
        <f t="shared" si="22"/>
        <v>192654.70652173914</v>
      </c>
      <c r="H154" s="8">
        <f>15537785.91-614600-462400</f>
        <v>14460785.91</v>
      </c>
      <c r="I154" s="16">
        <f t="shared" si="20"/>
        <v>75.060641762044085</v>
      </c>
      <c r="J154" s="8">
        <v>2070172.18</v>
      </c>
    </row>
    <row r="155" spans="1:13">
      <c r="A155" s="4">
        <v>39113</v>
      </c>
      <c r="D155" s="10">
        <v>6200381</v>
      </c>
      <c r="E155" s="10">
        <v>31</v>
      </c>
      <c r="F155">
        <f t="shared" si="21"/>
        <v>92</v>
      </c>
      <c r="G155" s="16">
        <f t="shared" si="22"/>
        <v>193840.34782608695</v>
      </c>
      <c r="H155" s="8">
        <f>15531418.38-614600-462400</f>
        <v>14454418.380000001</v>
      </c>
      <c r="I155" s="16">
        <f t="shared" si="20"/>
        <v>74.568677481782416</v>
      </c>
      <c r="J155" s="8">
        <v>3253020.45</v>
      </c>
    </row>
    <row r="156" spans="1:13">
      <c r="A156" s="4">
        <v>39141</v>
      </c>
      <c r="D156" s="10">
        <v>5060448</v>
      </c>
      <c r="E156" s="10">
        <v>28</v>
      </c>
      <c r="F156">
        <f t="shared" si="21"/>
        <v>90</v>
      </c>
      <c r="G156" s="16">
        <f t="shared" si="22"/>
        <v>192200.6</v>
      </c>
      <c r="H156" s="8">
        <f>15215791-614600-462400</f>
        <v>14138791</v>
      </c>
      <c r="I156" s="16">
        <f t="shared" si="20"/>
        <v>73.562678784561541</v>
      </c>
      <c r="J156" s="8">
        <v>2852709</v>
      </c>
    </row>
    <row r="157" spans="1:13">
      <c r="A157" s="4">
        <v>39172</v>
      </c>
      <c r="D157" s="10">
        <v>5911344</v>
      </c>
      <c r="E157" s="10">
        <v>31</v>
      </c>
      <c r="F157">
        <f t="shared" ref="F157:F163" si="23">+E155+E156+E157</f>
        <v>90</v>
      </c>
      <c r="G157" s="16">
        <f t="shared" ref="G157:G167" si="24">(+D155+D156+D157)/F157</f>
        <v>190801.92222222223</v>
      </c>
      <c r="H157" s="8">
        <f>15545835.57-462400-614600</f>
        <v>14468835.57</v>
      </c>
      <c r="I157" s="16">
        <f t="shared" si="20"/>
        <v>75.831707571313189</v>
      </c>
      <c r="J157" s="8">
        <v>2566358.09</v>
      </c>
    </row>
    <row r="158" spans="1:13">
      <c r="A158" s="4">
        <v>39202</v>
      </c>
      <c r="D158" s="10">
        <v>6260021</v>
      </c>
      <c r="E158" s="10">
        <v>30</v>
      </c>
      <c r="F158">
        <f t="shared" si="23"/>
        <v>89</v>
      </c>
      <c r="G158" s="16">
        <f t="shared" si="24"/>
        <v>193615.8764044944</v>
      </c>
      <c r="H158" s="8">
        <f>16422877-462400-614600</f>
        <v>15345877</v>
      </c>
      <c r="I158" s="16">
        <f t="shared" ref="I158:I178" si="25">+H158/G158</f>
        <v>79.259393831629893</v>
      </c>
      <c r="J158" s="8">
        <v>2493070</v>
      </c>
    </row>
    <row r="159" spans="1:13">
      <c r="A159" s="4">
        <v>39232</v>
      </c>
      <c r="D159" s="10">
        <v>6297936</v>
      </c>
      <c r="E159" s="10">
        <v>31</v>
      </c>
      <c r="F159" s="10">
        <f t="shared" si="23"/>
        <v>92</v>
      </c>
      <c r="G159" s="16">
        <f t="shared" si="24"/>
        <v>200753.27173913043</v>
      </c>
      <c r="H159" s="8">
        <f>16327586.98-462400-614600</f>
        <v>15250586.98</v>
      </c>
      <c r="I159" s="16">
        <f t="shared" si="25"/>
        <v>75.966816619643595</v>
      </c>
      <c r="J159" s="8">
        <v>2746389.38</v>
      </c>
      <c r="M159" s="14"/>
    </row>
    <row r="160" spans="1:13">
      <c r="A160" s="4">
        <v>39263</v>
      </c>
      <c r="D160" s="10">
        <v>6591809</v>
      </c>
      <c r="E160" s="10">
        <v>30</v>
      </c>
      <c r="F160" s="10">
        <f t="shared" si="23"/>
        <v>91</v>
      </c>
      <c r="G160" s="16">
        <f t="shared" si="24"/>
        <v>210436.989010989</v>
      </c>
      <c r="H160" s="8">
        <f>17638032.76-462400-614600</f>
        <v>16561032.760000002</v>
      </c>
      <c r="I160" s="16">
        <f t="shared" si="25"/>
        <v>78.698297470580073</v>
      </c>
      <c r="J160" s="8">
        <v>2207760.0499999998</v>
      </c>
    </row>
    <row r="161" spans="1:10">
      <c r="A161" s="4">
        <v>39294</v>
      </c>
      <c r="D161" s="10">
        <v>5829701</v>
      </c>
      <c r="E161" s="10">
        <v>31</v>
      </c>
      <c r="F161" s="10">
        <f t="shared" si="23"/>
        <v>92</v>
      </c>
      <c r="G161" s="16">
        <f t="shared" si="24"/>
        <v>203472.23913043478</v>
      </c>
      <c r="H161" s="8">
        <f>(17520473.63-436967+436967)-462400-614600</f>
        <v>16443473.629999999</v>
      </c>
      <c r="I161" s="16">
        <f t="shared" si="25"/>
        <v>80.814334674220589</v>
      </c>
      <c r="J161" s="8">
        <f>2403762.29+436967-436967</f>
        <v>2403762.29</v>
      </c>
    </row>
    <row r="162" spans="1:10">
      <c r="A162" s="4">
        <v>39325</v>
      </c>
      <c r="D162" s="10">
        <v>6535981</v>
      </c>
      <c r="E162" s="10">
        <v>30</v>
      </c>
      <c r="F162" s="10">
        <f t="shared" si="23"/>
        <v>91</v>
      </c>
      <c r="G162" s="16">
        <f t="shared" si="24"/>
        <v>208324.07692307694</v>
      </c>
      <c r="H162" s="8">
        <f>(18253095.61)-462400-614600</f>
        <v>17176095.609999999</v>
      </c>
      <c r="I162" s="16">
        <f t="shared" si="25"/>
        <v>82.448922197035458</v>
      </c>
      <c r="J162" s="8">
        <v>2804285.77</v>
      </c>
    </row>
    <row r="163" spans="1:10">
      <c r="A163" s="4">
        <v>39355</v>
      </c>
      <c r="D163" s="10">
        <v>6040018</v>
      </c>
      <c r="E163" s="10">
        <v>30</v>
      </c>
      <c r="F163" s="10">
        <f t="shared" si="23"/>
        <v>91</v>
      </c>
      <c r="G163" s="16">
        <f t="shared" si="24"/>
        <v>202260.43956043955</v>
      </c>
      <c r="H163" s="8">
        <f>(17269864.45)</f>
        <v>17269864.449999999</v>
      </c>
      <c r="I163" s="16">
        <f t="shared" si="25"/>
        <v>85.384292091580321</v>
      </c>
      <c r="J163" s="8">
        <v>2548186.1800000002</v>
      </c>
    </row>
    <row r="164" spans="1:10">
      <c r="A164" s="4">
        <v>39386</v>
      </c>
      <c r="D164" s="10">
        <v>6016538</v>
      </c>
      <c r="E164" s="10">
        <v>31</v>
      </c>
      <c r="F164" s="10">
        <f t="shared" ref="F164:F173" si="26">+E162+E163+E164</f>
        <v>91</v>
      </c>
      <c r="G164" s="16">
        <f t="shared" si="24"/>
        <v>204313.5934065934</v>
      </c>
      <c r="H164" s="8">
        <v>16730927.41</v>
      </c>
      <c r="I164" s="16">
        <f t="shared" si="25"/>
        <v>81.888469244944901</v>
      </c>
      <c r="J164" s="8">
        <v>2966593.58</v>
      </c>
    </row>
    <row r="165" spans="1:10">
      <c r="A165" s="4">
        <v>39416</v>
      </c>
      <c r="D165" s="10">
        <v>5758191</v>
      </c>
      <c r="E165" s="10">
        <v>30</v>
      </c>
      <c r="F165" s="10">
        <f t="shared" si="26"/>
        <v>91</v>
      </c>
      <c r="G165" s="16">
        <f t="shared" si="24"/>
        <v>195766.45054945056</v>
      </c>
      <c r="H165" s="8">
        <v>15963623.99</v>
      </c>
      <c r="I165" s="16">
        <f t="shared" si="25"/>
        <v>81.544227548670776</v>
      </c>
      <c r="J165" s="8">
        <v>2567879.0499999998</v>
      </c>
    </row>
    <row r="166" spans="1:10">
      <c r="A166" s="4">
        <v>39447</v>
      </c>
      <c r="D166" s="10">
        <v>5613341</v>
      </c>
      <c r="E166" s="10">
        <v>31</v>
      </c>
      <c r="F166" s="10">
        <f t="shared" si="26"/>
        <v>92</v>
      </c>
      <c r="G166" s="16">
        <f t="shared" si="24"/>
        <v>189000.76086956522</v>
      </c>
      <c r="H166" s="8">
        <v>15561852.27</v>
      </c>
      <c r="I166" s="16">
        <f t="shared" si="25"/>
        <v>82.337511226950426</v>
      </c>
      <c r="J166" s="8">
        <v>2567508.67</v>
      </c>
    </row>
    <row r="167" spans="1:10">
      <c r="A167" s="4">
        <v>39478</v>
      </c>
      <c r="D167" s="10">
        <v>6033865</v>
      </c>
      <c r="E167" s="10">
        <v>31</v>
      </c>
      <c r="F167" s="10">
        <f t="shared" si="26"/>
        <v>92</v>
      </c>
      <c r="G167" s="16">
        <f t="shared" si="24"/>
        <v>189189.09782608695</v>
      </c>
      <c r="H167" s="8">
        <v>15867633.699999999</v>
      </c>
      <c r="I167" s="16">
        <f t="shared" si="25"/>
        <v>83.871818631887564</v>
      </c>
      <c r="J167" s="8">
        <v>2765748.6</v>
      </c>
    </row>
    <row r="168" spans="1:10">
      <c r="A168" s="4">
        <v>39507</v>
      </c>
      <c r="D168" s="10">
        <v>6411514</v>
      </c>
      <c r="E168" s="10">
        <v>29</v>
      </c>
      <c r="F168" s="10">
        <f t="shared" si="26"/>
        <v>91</v>
      </c>
      <c r="G168" s="16">
        <f t="shared" ref="G168:G175" si="27">(+D166+D167+D168)/F168</f>
        <v>198447.47252747254</v>
      </c>
      <c r="H168" s="8">
        <v>15355927.15</v>
      </c>
      <c r="I168" s="16">
        <f t="shared" si="25"/>
        <v>77.380311043639864</v>
      </c>
      <c r="J168" s="8">
        <v>2774231.23</v>
      </c>
    </row>
    <row r="169" spans="1:10">
      <c r="A169" s="4">
        <v>39538</v>
      </c>
      <c r="D169" s="10">
        <v>5905514</v>
      </c>
      <c r="E169" s="10">
        <v>31</v>
      </c>
      <c r="F169" s="10">
        <f t="shared" si="26"/>
        <v>91</v>
      </c>
      <c r="G169" s="16">
        <f t="shared" si="27"/>
        <v>201658.16483516485</v>
      </c>
      <c r="H169" s="8">
        <v>14848710.289999999</v>
      </c>
      <c r="I169" s="16">
        <f t="shared" si="25"/>
        <v>73.633072591617193</v>
      </c>
      <c r="J169" s="8">
        <v>3086872.55</v>
      </c>
    </row>
    <row r="170" spans="1:10">
      <c r="A170" s="4">
        <v>39568</v>
      </c>
      <c r="D170" s="10">
        <v>6210791</v>
      </c>
      <c r="E170" s="10">
        <v>30</v>
      </c>
      <c r="F170" s="10">
        <f t="shared" si="26"/>
        <v>90</v>
      </c>
      <c r="G170" s="16">
        <f t="shared" si="27"/>
        <v>205864.65555555557</v>
      </c>
      <c r="H170" s="8">
        <f>15279580.02</f>
        <v>15279580.02</v>
      </c>
      <c r="I170" s="16">
        <f t="shared" si="25"/>
        <v>74.221482938709613</v>
      </c>
      <c r="J170" s="8">
        <v>2705523.56</v>
      </c>
    </row>
    <row r="171" spans="1:10">
      <c r="A171" s="4">
        <v>39598</v>
      </c>
      <c r="D171" s="10">
        <v>5578754</v>
      </c>
      <c r="E171" s="10">
        <v>31</v>
      </c>
      <c r="F171" s="10">
        <f t="shared" si="26"/>
        <v>92</v>
      </c>
      <c r="G171" s="16">
        <f t="shared" si="27"/>
        <v>192337.59782608695</v>
      </c>
      <c r="H171" s="8">
        <v>13596237.35</v>
      </c>
      <c r="I171" s="16">
        <f t="shared" si="25"/>
        <v>70.689441397171947</v>
      </c>
      <c r="J171" s="8">
        <v>2592087.7799999998</v>
      </c>
    </row>
    <row r="172" spans="1:10">
      <c r="A172" s="4">
        <v>39629</v>
      </c>
      <c r="D172" s="10">
        <v>6085906</v>
      </c>
      <c r="E172" s="10">
        <v>30</v>
      </c>
      <c r="F172" s="10">
        <f t="shared" si="26"/>
        <v>91</v>
      </c>
      <c r="G172" s="16">
        <f t="shared" si="27"/>
        <v>196433.52747252746</v>
      </c>
      <c r="H172" s="8">
        <v>13600893.27</v>
      </c>
      <c r="I172" s="16">
        <f t="shared" si="25"/>
        <v>69.239164235352717</v>
      </c>
      <c r="J172" s="8">
        <v>2417861.31</v>
      </c>
    </row>
    <row r="173" spans="1:10">
      <c r="A173" s="4">
        <v>39660</v>
      </c>
      <c r="D173" s="10">
        <v>5661333</v>
      </c>
      <c r="E173" s="10">
        <v>31</v>
      </c>
      <c r="F173" s="10">
        <f t="shared" si="26"/>
        <v>92</v>
      </c>
      <c r="G173" s="16">
        <f t="shared" si="27"/>
        <v>188326.01086956522</v>
      </c>
      <c r="H173" s="8">
        <f>12950422.82</f>
        <v>12950422.82</v>
      </c>
      <c r="I173" s="16">
        <f t="shared" si="25"/>
        <v>68.765980653460957</v>
      </c>
      <c r="J173" s="8">
        <v>2780803.81</v>
      </c>
    </row>
    <row r="174" spans="1:10">
      <c r="A174" s="90">
        <v>39691</v>
      </c>
      <c r="D174" s="10">
        <v>5813369</v>
      </c>
      <c r="E174" s="10">
        <v>31</v>
      </c>
      <c r="F174" s="10">
        <f>+E172+E173+E174</f>
        <v>92</v>
      </c>
      <c r="G174" s="16">
        <f t="shared" si="27"/>
        <v>190876.17391304349</v>
      </c>
      <c r="H174" s="8">
        <f>12333270.32</f>
        <v>12333270.32</v>
      </c>
      <c r="I174" s="16">
        <f t="shared" si="25"/>
        <v>64.613985429206096</v>
      </c>
      <c r="J174" s="8">
        <v>2608840.86</v>
      </c>
    </row>
    <row r="175" spans="1:10">
      <c r="A175" s="90">
        <v>39721</v>
      </c>
      <c r="D175" s="10">
        <v>6087197</v>
      </c>
      <c r="E175" s="10">
        <v>30</v>
      </c>
      <c r="F175" s="10">
        <f>+E173+E174+E175</f>
        <v>92</v>
      </c>
      <c r="G175" s="16">
        <f t="shared" si="27"/>
        <v>190890.20652173914</v>
      </c>
      <c r="H175" s="8">
        <v>11306020.289999999</v>
      </c>
      <c r="I175" s="16">
        <f t="shared" si="25"/>
        <v>59.227869758276135</v>
      </c>
      <c r="J175" s="8">
        <v>2788317.91</v>
      </c>
    </row>
    <row r="176" spans="1:10">
      <c r="A176" s="90">
        <v>39752</v>
      </c>
      <c r="D176" s="10">
        <v>5678189</v>
      </c>
      <c r="E176" s="10">
        <v>31</v>
      </c>
      <c r="F176" s="10">
        <f>+E174+E175+E176</f>
        <v>92</v>
      </c>
      <c r="G176" s="16">
        <f>(+D174+D175+D176)/F176</f>
        <v>191073.42391304349</v>
      </c>
      <c r="H176" s="8">
        <v>10818245</v>
      </c>
      <c r="I176" s="16">
        <f t="shared" si="25"/>
        <v>56.61826107707855</v>
      </c>
      <c r="J176" s="8">
        <v>2661229</v>
      </c>
    </row>
    <row r="177" spans="1:10">
      <c r="A177" s="90">
        <v>39782</v>
      </c>
      <c r="D177" s="10">
        <v>4999523</v>
      </c>
      <c r="E177" s="10">
        <v>30</v>
      </c>
      <c r="F177" s="10">
        <f>+E175+E176+E177</f>
        <v>91</v>
      </c>
      <c r="G177" s="16">
        <f>(+D175+D176+D177)/F177</f>
        <v>184229.76923076922</v>
      </c>
      <c r="H177" s="8">
        <v>11413754.51</v>
      </c>
      <c r="I177" s="16">
        <f t="shared" si="25"/>
        <v>61.953909824980265</v>
      </c>
      <c r="J177" s="8">
        <v>2143621.02</v>
      </c>
    </row>
    <row r="178" spans="1:10">
      <c r="A178" s="90">
        <v>40177</v>
      </c>
      <c r="D178" s="10">
        <v>5897111</v>
      </c>
      <c r="E178" s="10">
        <v>31</v>
      </c>
      <c r="F178" s="10">
        <f>+E176+E177+E178</f>
        <v>92</v>
      </c>
      <c r="G178" s="16">
        <f>(+D176+D177+D178)/F178</f>
        <v>180161.11956521738</v>
      </c>
      <c r="H178" s="8">
        <v>11381265.869999999</v>
      </c>
      <c r="I178" s="16">
        <f t="shared" si="25"/>
        <v>63.172708392723109</v>
      </c>
      <c r="J178" s="8">
        <v>2789612.46</v>
      </c>
    </row>
    <row r="181" spans="1:10" ht="25.5">
      <c r="A181" s="19" t="s">
        <v>52</v>
      </c>
      <c r="B181" s="19" t="s">
        <v>16</v>
      </c>
      <c r="C181" s="19" t="s">
        <v>24</v>
      </c>
      <c r="D181" s="20" t="s">
        <v>51</v>
      </c>
      <c r="E181" s="19" t="s">
        <v>53</v>
      </c>
      <c r="F181" s="19"/>
      <c r="G181" s="19" t="s">
        <v>54</v>
      </c>
      <c r="H181" s="19" t="s">
        <v>55</v>
      </c>
      <c r="I181" s="19" t="s">
        <v>40</v>
      </c>
      <c r="J181" s="19" t="s">
        <v>39</v>
      </c>
    </row>
    <row r="183" spans="1:10">
      <c r="A183" s="4">
        <v>37287</v>
      </c>
      <c r="B183" s="10">
        <v>2939832</v>
      </c>
      <c r="C183" s="10">
        <v>203572</v>
      </c>
      <c r="D183" s="10">
        <f>+B183-C183</f>
        <v>2736260</v>
      </c>
      <c r="E183">
        <v>31</v>
      </c>
      <c r="J183" s="3">
        <v>2532493.79</v>
      </c>
    </row>
    <row r="184" spans="1:10">
      <c r="A184" s="4">
        <v>37315</v>
      </c>
      <c r="B184" s="10">
        <v>2639079</v>
      </c>
      <c r="C184" s="10">
        <v>240498</v>
      </c>
      <c r="D184" s="10">
        <f t="shared" ref="D184:D218" si="28">+B184-C184</f>
        <v>2398581</v>
      </c>
      <c r="E184">
        <v>28</v>
      </c>
      <c r="J184" s="3">
        <v>2281904.17</v>
      </c>
    </row>
    <row r="185" spans="1:10">
      <c r="A185" s="4">
        <f>+A184+31</f>
        <v>37346</v>
      </c>
      <c r="B185" s="10">
        <v>2696303</v>
      </c>
      <c r="C185" s="10">
        <v>128959</v>
      </c>
      <c r="D185" s="10">
        <f t="shared" si="28"/>
        <v>2567344</v>
      </c>
      <c r="E185">
        <v>31</v>
      </c>
      <c r="F185">
        <f>+E183+E184+E185</f>
        <v>90</v>
      </c>
      <c r="G185" s="16">
        <f>(+D183+D184+D185)/F185</f>
        <v>85579.833333333328</v>
      </c>
      <c r="H185" s="10">
        <v>5118614.0599999996</v>
      </c>
      <c r="I185" s="16">
        <f>+H185/G185</f>
        <v>59.810984207728069</v>
      </c>
      <c r="J185" s="3">
        <v>2780535.72</v>
      </c>
    </row>
    <row r="186" spans="1:10">
      <c r="A186" s="4">
        <f>+A185+30</f>
        <v>37376</v>
      </c>
      <c r="B186" s="10">
        <v>2805908</v>
      </c>
      <c r="C186" s="10">
        <v>238198</v>
      </c>
      <c r="D186" s="10">
        <f t="shared" si="28"/>
        <v>2567710</v>
      </c>
      <c r="E186">
        <v>30</v>
      </c>
      <c r="F186">
        <f t="shared" ref="F186:F211" si="29">+E184+E185+E186</f>
        <v>89</v>
      </c>
      <c r="G186" s="16">
        <f t="shared" ref="G186:G211" si="30">(+D184+D185+D186)/F186</f>
        <v>84647.584269662926</v>
      </c>
      <c r="H186" s="10">
        <v>5250554.53</v>
      </c>
      <c r="I186" s="16">
        <f t="shared" ref="I186:I215" si="31">+H186/G186</f>
        <v>62.028403708170096</v>
      </c>
      <c r="J186" s="3">
        <v>2407388.09</v>
      </c>
    </row>
    <row r="187" spans="1:10">
      <c r="A187" s="4">
        <f>+A186+31</f>
        <v>37407</v>
      </c>
      <c r="B187" s="10">
        <v>2744021</v>
      </c>
      <c r="C187" s="10">
        <v>232900</v>
      </c>
      <c r="D187" s="10">
        <f t="shared" si="28"/>
        <v>2511121</v>
      </c>
      <c r="E187">
        <v>31</v>
      </c>
      <c r="F187">
        <f t="shared" si="29"/>
        <v>92</v>
      </c>
      <c r="G187" s="16">
        <f t="shared" si="30"/>
        <v>83110.59782608696</v>
      </c>
      <c r="H187" s="10">
        <v>5008396.3600000003</v>
      </c>
      <c r="I187" s="16">
        <f t="shared" si="31"/>
        <v>60.261825699777994</v>
      </c>
      <c r="J187" s="3">
        <v>2119511.9300000002</v>
      </c>
    </row>
    <row r="188" spans="1:10">
      <c r="A188" s="4">
        <f>+A187+30</f>
        <v>37437</v>
      </c>
      <c r="B188" s="10">
        <v>2664879</v>
      </c>
      <c r="C188" s="10">
        <v>151983</v>
      </c>
      <c r="D188" s="10">
        <f t="shared" si="28"/>
        <v>2512896</v>
      </c>
      <c r="E188">
        <v>30</v>
      </c>
      <c r="F188">
        <f t="shared" si="29"/>
        <v>91</v>
      </c>
      <c r="G188" s="16">
        <f t="shared" si="30"/>
        <v>83425.571428571435</v>
      </c>
      <c r="H188" s="10">
        <v>5137906.24</v>
      </c>
      <c r="I188" s="16">
        <f t="shared" si="31"/>
        <v>61.586707193238112</v>
      </c>
      <c r="J188" s="3">
        <v>2093018</v>
      </c>
    </row>
    <row r="189" spans="1:10">
      <c r="A189" s="4">
        <f>+A188+31</f>
        <v>37468</v>
      </c>
      <c r="B189" s="10">
        <v>2675409</v>
      </c>
      <c r="C189" s="10">
        <v>218235</v>
      </c>
      <c r="D189" s="10">
        <f t="shared" si="28"/>
        <v>2457174</v>
      </c>
      <c r="E189">
        <v>31</v>
      </c>
      <c r="F189">
        <f t="shared" si="29"/>
        <v>92</v>
      </c>
      <c r="G189" s="16">
        <f t="shared" si="30"/>
        <v>81317.293478260865</v>
      </c>
      <c r="H189" s="10">
        <v>5870650.5899999999</v>
      </c>
      <c r="I189" s="16">
        <f t="shared" si="31"/>
        <v>72.194367752407345</v>
      </c>
      <c r="J189" s="3">
        <v>2810988.44</v>
      </c>
    </row>
    <row r="190" spans="1:10">
      <c r="A190" s="4">
        <f>+A189+31</f>
        <v>37499</v>
      </c>
      <c r="B190" s="10">
        <v>2995337</v>
      </c>
      <c r="C190" s="10">
        <v>272533</v>
      </c>
      <c r="D190" s="10">
        <f t="shared" si="28"/>
        <v>2722804</v>
      </c>
      <c r="E190">
        <v>31</v>
      </c>
      <c r="F190">
        <f t="shared" si="29"/>
        <v>92</v>
      </c>
      <c r="G190" s="16">
        <f t="shared" si="30"/>
        <v>83618.195652173919</v>
      </c>
      <c r="H190" s="10">
        <v>6363422.6600000001</v>
      </c>
      <c r="I190" s="16">
        <f t="shared" si="31"/>
        <v>76.100932462952073</v>
      </c>
      <c r="J190" s="3">
        <v>2195988.11</v>
      </c>
    </row>
    <row r="191" spans="1:10">
      <c r="A191" s="4">
        <f>+A190+30</f>
        <v>37529</v>
      </c>
      <c r="B191" s="10">
        <v>2726835</v>
      </c>
      <c r="C191" s="10">
        <v>220025</v>
      </c>
      <c r="D191" s="10">
        <f t="shared" si="28"/>
        <v>2506810</v>
      </c>
      <c r="E191">
        <v>30</v>
      </c>
      <c r="F191">
        <f t="shared" si="29"/>
        <v>92</v>
      </c>
      <c r="G191" s="16">
        <f t="shared" si="30"/>
        <v>83552.043478260865</v>
      </c>
      <c r="H191" s="10">
        <v>6205445.21</v>
      </c>
      <c r="I191" s="16">
        <f t="shared" si="31"/>
        <v>74.270418192878481</v>
      </c>
      <c r="J191" s="3">
        <v>2443421.81</v>
      </c>
    </row>
    <row r="192" spans="1:10">
      <c r="A192" s="4">
        <f>+A191+31</f>
        <v>37560</v>
      </c>
      <c r="B192" s="10">
        <v>3104692</v>
      </c>
      <c r="C192" s="10">
        <v>267272</v>
      </c>
      <c r="D192" s="10">
        <f t="shared" si="28"/>
        <v>2837420</v>
      </c>
      <c r="E192">
        <v>31</v>
      </c>
      <c r="F192">
        <f t="shared" si="29"/>
        <v>92</v>
      </c>
      <c r="G192" s="16">
        <f t="shared" si="30"/>
        <v>87685.15217391304</v>
      </c>
      <c r="H192" s="10">
        <v>5521734.46</v>
      </c>
      <c r="I192" s="16">
        <f t="shared" si="31"/>
        <v>62.972285764507753</v>
      </c>
      <c r="J192" s="3">
        <v>2475721.92</v>
      </c>
    </row>
    <row r="193" spans="1:16">
      <c r="A193" s="4">
        <f>+A192+30</f>
        <v>37590</v>
      </c>
      <c r="B193" s="10">
        <v>2654773</v>
      </c>
      <c r="C193" s="10">
        <v>151022</v>
      </c>
      <c r="D193" s="10">
        <f t="shared" si="28"/>
        <v>2503751</v>
      </c>
      <c r="E193">
        <v>30</v>
      </c>
      <c r="F193">
        <f t="shared" si="29"/>
        <v>91</v>
      </c>
      <c r="G193" s="16">
        <f t="shared" si="30"/>
        <v>86241.549450549457</v>
      </c>
      <c r="H193" s="10">
        <v>5362582.2300000004</v>
      </c>
      <c r="I193" s="16">
        <f t="shared" si="31"/>
        <v>62.180958762514841</v>
      </c>
      <c r="J193" s="3">
        <v>2204752.85</v>
      </c>
    </row>
    <row r="194" spans="1:16">
      <c r="A194" s="4">
        <f>+A193+31</f>
        <v>37621</v>
      </c>
      <c r="B194" s="10">
        <v>1182225</v>
      </c>
      <c r="C194" s="10">
        <v>-864159</v>
      </c>
      <c r="D194" s="10">
        <f t="shared" si="28"/>
        <v>2046384</v>
      </c>
      <c r="E194">
        <v>31</v>
      </c>
      <c r="F194">
        <f t="shared" si="29"/>
        <v>92</v>
      </c>
      <c r="G194" s="16">
        <f t="shared" si="30"/>
        <v>80299.510869565216</v>
      </c>
      <c r="H194" s="10">
        <v>5297465.8499999996</v>
      </c>
      <c r="I194" s="16">
        <f t="shared" si="31"/>
        <v>65.971333979916224</v>
      </c>
      <c r="J194" s="3">
        <v>2639110</v>
      </c>
    </row>
    <row r="195" spans="1:16">
      <c r="A195" s="4">
        <f>+A194+31</f>
        <v>37652</v>
      </c>
      <c r="B195" s="10">
        <v>2697195</v>
      </c>
      <c r="C195" s="10">
        <v>155600</v>
      </c>
      <c r="D195" s="10">
        <f t="shared" si="28"/>
        <v>2541595</v>
      </c>
      <c r="E195">
        <v>31</v>
      </c>
      <c r="F195">
        <f t="shared" si="29"/>
        <v>92</v>
      </c>
      <c r="G195" s="16">
        <f t="shared" si="30"/>
        <v>77084.021739130432</v>
      </c>
      <c r="H195" s="10">
        <v>5508226</v>
      </c>
      <c r="I195" s="16">
        <f t="shared" si="31"/>
        <v>71.457428864325067</v>
      </c>
      <c r="J195" s="3">
        <v>2709179.15</v>
      </c>
    </row>
    <row r="196" spans="1:16">
      <c r="A196" s="4">
        <f>+A195+28</f>
        <v>37680</v>
      </c>
      <c r="B196" s="10">
        <v>2600658</v>
      </c>
      <c r="C196" s="10">
        <v>209845</v>
      </c>
      <c r="D196" s="10">
        <f t="shared" si="28"/>
        <v>2390813</v>
      </c>
      <c r="E196">
        <v>28</v>
      </c>
      <c r="F196">
        <f t="shared" si="29"/>
        <v>90</v>
      </c>
      <c r="G196" s="16">
        <f t="shared" si="30"/>
        <v>77542.133333333331</v>
      </c>
      <c r="H196" s="10">
        <v>5609616</v>
      </c>
      <c r="I196" s="16">
        <f t="shared" si="31"/>
        <v>72.342812337722634</v>
      </c>
      <c r="J196" s="3">
        <v>2162161.36</v>
      </c>
    </row>
    <row r="197" spans="1:16">
      <c r="A197" s="4">
        <f>+A196+31</f>
        <v>37711</v>
      </c>
      <c r="B197" s="10">
        <v>2903870</v>
      </c>
      <c r="C197" s="10">
        <v>189913</v>
      </c>
      <c r="D197" s="10">
        <f t="shared" si="28"/>
        <v>2713957</v>
      </c>
      <c r="E197">
        <v>31</v>
      </c>
      <c r="F197">
        <f t="shared" si="29"/>
        <v>90</v>
      </c>
      <c r="G197" s="16">
        <f t="shared" si="30"/>
        <v>84959.611111111109</v>
      </c>
      <c r="H197" s="10">
        <v>5923585</v>
      </c>
      <c r="I197" s="16">
        <f t="shared" si="31"/>
        <v>69.722364809945645</v>
      </c>
      <c r="J197" s="3">
        <v>2264076</v>
      </c>
    </row>
    <row r="198" spans="1:16">
      <c r="A198" s="4">
        <f>+A197+30</f>
        <v>37741</v>
      </c>
      <c r="B198" s="10">
        <v>2652137</v>
      </c>
      <c r="C198" s="10">
        <v>247457</v>
      </c>
      <c r="D198" s="10">
        <f t="shared" si="28"/>
        <v>2404680</v>
      </c>
      <c r="E198">
        <v>30</v>
      </c>
      <c r="F198">
        <f t="shared" si="29"/>
        <v>89</v>
      </c>
      <c r="G198" s="16">
        <f t="shared" si="30"/>
        <v>84375.842696629217</v>
      </c>
      <c r="H198" s="10">
        <v>6048707</v>
      </c>
      <c r="I198" s="16">
        <f t="shared" si="31"/>
        <v>71.687663277603548</v>
      </c>
      <c r="J198" s="3">
        <v>2250547.29</v>
      </c>
    </row>
    <row r="199" spans="1:16">
      <c r="A199" s="4">
        <f>+A198+31</f>
        <v>37772</v>
      </c>
      <c r="B199" s="10">
        <v>2612899</v>
      </c>
      <c r="C199" s="10">
        <v>114711</v>
      </c>
      <c r="D199" s="10">
        <f t="shared" si="28"/>
        <v>2498188</v>
      </c>
      <c r="E199">
        <v>31</v>
      </c>
      <c r="F199">
        <f t="shared" si="29"/>
        <v>92</v>
      </c>
      <c r="G199" s="16">
        <f t="shared" si="30"/>
        <v>82791.576086956527</v>
      </c>
      <c r="H199" s="10">
        <v>5912738</v>
      </c>
      <c r="I199" s="16">
        <f t="shared" si="31"/>
        <v>71.41714507028847</v>
      </c>
      <c r="J199" s="3">
        <v>2088855</v>
      </c>
    </row>
    <row r="200" spans="1:16">
      <c r="A200" s="4">
        <f>+A199+30</f>
        <v>37802</v>
      </c>
      <c r="B200" s="10">
        <v>2713985</v>
      </c>
      <c r="C200" s="10">
        <v>222665</v>
      </c>
      <c r="D200" s="10">
        <f t="shared" si="28"/>
        <v>2491320</v>
      </c>
      <c r="E200">
        <v>30</v>
      </c>
      <c r="F200">
        <f t="shared" si="29"/>
        <v>91</v>
      </c>
      <c r="G200" s="16">
        <f t="shared" si="30"/>
        <v>81254.81318681319</v>
      </c>
      <c r="H200" s="10">
        <v>5653706.2699999996</v>
      </c>
      <c r="I200" s="16">
        <f t="shared" si="31"/>
        <v>69.5799553067896</v>
      </c>
      <c r="J200" s="3">
        <v>2643712.98</v>
      </c>
    </row>
    <row r="201" spans="1:16">
      <c r="A201" s="4">
        <f>+A200+31</f>
        <v>37833</v>
      </c>
      <c r="B201" s="10">
        <v>2979909</v>
      </c>
      <c r="C201" s="10">
        <v>198510</v>
      </c>
      <c r="D201" s="10">
        <f t="shared" si="28"/>
        <v>2781399</v>
      </c>
      <c r="E201">
        <v>31</v>
      </c>
      <c r="F201">
        <f t="shared" si="29"/>
        <v>92</v>
      </c>
      <c r="G201" s="16">
        <f t="shared" si="30"/>
        <v>84466.380434782608</v>
      </c>
      <c r="H201" s="10">
        <v>6113114.9299999997</v>
      </c>
      <c r="I201" s="16">
        <f t="shared" si="31"/>
        <v>72.373350184219163</v>
      </c>
      <c r="J201" s="3">
        <v>2347322</v>
      </c>
    </row>
    <row r="202" spans="1:16">
      <c r="A202" s="4">
        <f>+A201+31</f>
        <v>37864</v>
      </c>
      <c r="B202" s="10">
        <v>2905719</v>
      </c>
      <c r="C202" s="10">
        <v>180057</v>
      </c>
      <c r="D202" s="10">
        <f t="shared" si="28"/>
        <v>2725662</v>
      </c>
      <c r="E202">
        <v>31</v>
      </c>
      <c r="F202">
        <f t="shared" si="29"/>
        <v>92</v>
      </c>
      <c r="G202" s="16">
        <f t="shared" si="30"/>
        <v>86938.923913043473</v>
      </c>
      <c r="H202" s="10">
        <v>6450590.9900000002</v>
      </c>
      <c r="I202" s="16">
        <f t="shared" si="31"/>
        <v>74.196811964821393</v>
      </c>
      <c r="J202" s="3">
        <v>2222446</v>
      </c>
    </row>
    <row r="203" spans="1:16">
      <c r="A203" s="4">
        <f>+A202+30</f>
        <v>37894</v>
      </c>
      <c r="B203" s="10">
        <v>3137554</v>
      </c>
      <c r="C203" s="10">
        <v>124306</v>
      </c>
      <c r="D203" s="10">
        <f t="shared" si="28"/>
        <v>3013248</v>
      </c>
      <c r="E203">
        <v>30</v>
      </c>
      <c r="F203">
        <f t="shared" si="29"/>
        <v>92</v>
      </c>
      <c r="G203" s="16">
        <f t="shared" si="30"/>
        <v>92612.054347826081</v>
      </c>
      <c r="H203" s="10">
        <v>6953817</v>
      </c>
      <c r="I203" s="16">
        <f t="shared" si="31"/>
        <v>75.085441619546899</v>
      </c>
      <c r="J203" s="8">
        <v>2198370.7999999998</v>
      </c>
    </row>
    <row r="204" spans="1:16">
      <c r="A204" s="4">
        <f>+A203+31</f>
        <v>37925</v>
      </c>
      <c r="B204" s="10">
        <v>3290417</v>
      </c>
      <c r="C204" s="10">
        <v>229410</v>
      </c>
      <c r="D204" s="10">
        <f t="shared" si="28"/>
        <v>3061007</v>
      </c>
      <c r="E204">
        <v>31</v>
      </c>
      <c r="F204">
        <f t="shared" si="29"/>
        <v>92</v>
      </c>
      <c r="G204" s="16">
        <f t="shared" si="30"/>
        <v>95651.271739130432</v>
      </c>
      <c r="H204" s="10">
        <v>7015419</v>
      </c>
      <c r="I204" s="16">
        <f t="shared" si="31"/>
        <v>73.343708582705958</v>
      </c>
      <c r="J204" s="3">
        <v>2546972</v>
      </c>
    </row>
    <row r="205" spans="1:16">
      <c r="A205" s="4">
        <f>+A204+30</f>
        <v>37955</v>
      </c>
      <c r="B205" s="10">
        <v>3278382</v>
      </c>
      <c r="C205" s="10">
        <v>222957</v>
      </c>
      <c r="D205" s="10">
        <f t="shared" si="28"/>
        <v>3055425</v>
      </c>
      <c r="E205">
        <v>30</v>
      </c>
      <c r="F205">
        <f t="shared" si="29"/>
        <v>91</v>
      </c>
      <c r="G205" s="16">
        <f t="shared" si="30"/>
        <v>100326.15384615384</v>
      </c>
      <c r="H205" s="10">
        <v>7873808</v>
      </c>
      <c r="I205" s="16">
        <f t="shared" si="31"/>
        <v>78.482107587560577</v>
      </c>
      <c r="J205" s="3">
        <v>1910505.98</v>
      </c>
      <c r="O205" s="14">
        <v>3010203</v>
      </c>
      <c r="P205" s="14">
        <v>43444</v>
      </c>
    </row>
    <row r="206" spans="1:16">
      <c r="A206" s="4">
        <f>+A205+31</f>
        <v>37986</v>
      </c>
      <c r="B206" s="10">
        <v>3549947</v>
      </c>
      <c r="C206" s="10">
        <v>237244</v>
      </c>
      <c r="D206" s="10">
        <f t="shared" si="28"/>
        <v>3312703</v>
      </c>
      <c r="E206">
        <v>31</v>
      </c>
      <c r="F206">
        <f t="shared" si="29"/>
        <v>92</v>
      </c>
      <c r="G206" s="16">
        <f t="shared" si="30"/>
        <v>102490.59782608696</v>
      </c>
      <c r="H206" s="10">
        <v>8041185.2300000004</v>
      </c>
      <c r="I206" s="16">
        <f t="shared" si="31"/>
        <v>78.457784426673285</v>
      </c>
      <c r="J206" s="3">
        <v>2384367.77</v>
      </c>
      <c r="O206" s="14">
        <v>3267051</v>
      </c>
      <c r="P206" s="14">
        <v>80924</v>
      </c>
    </row>
    <row r="207" spans="1:16">
      <c r="A207" s="4">
        <f>+A206+31</f>
        <v>38017</v>
      </c>
      <c r="B207" s="10">
        <v>3082408</v>
      </c>
      <c r="C207" s="10">
        <v>203039</v>
      </c>
      <c r="D207" s="10">
        <f t="shared" si="28"/>
        <v>2879369</v>
      </c>
      <c r="E207">
        <v>31</v>
      </c>
      <c r="F207">
        <f t="shared" si="29"/>
        <v>92</v>
      </c>
      <c r="G207" s="16">
        <f t="shared" si="30"/>
        <v>100516.27173913043</v>
      </c>
      <c r="H207" s="10">
        <v>8379390.0300000003</v>
      </c>
      <c r="I207" s="16">
        <f t="shared" si="31"/>
        <v>83.363518015739828</v>
      </c>
      <c r="J207" s="3">
        <v>2187700</v>
      </c>
      <c r="O207" s="14">
        <v>2300917</v>
      </c>
      <c r="P207" s="14">
        <v>240911</v>
      </c>
    </row>
    <row r="208" spans="1:16">
      <c r="A208" s="4">
        <f>+A207+29</f>
        <v>38046</v>
      </c>
      <c r="B208" s="10">
        <v>2537106</v>
      </c>
      <c r="C208" s="10">
        <v>117545</v>
      </c>
      <c r="D208" s="10">
        <f t="shared" si="28"/>
        <v>2419561</v>
      </c>
      <c r="E208">
        <v>29</v>
      </c>
      <c r="F208">
        <f t="shared" si="29"/>
        <v>91</v>
      </c>
      <c r="G208" s="16">
        <f t="shared" si="30"/>
        <v>94633.329670329666</v>
      </c>
      <c r="H208" s="10">
        <v>8450534.5800000001</v>
      </c>
      <c r="I208" s="16">
        <f t="shared" si="31"/>
        <v>89.297656644216033</v>
      </c>
      <c r="J208" s="3">
        <v>2173402.7400000002</v>
      </c>
      <c r="O208" s="14">
        <f>+O205+O206+O207</f>
        <v>8578171</v>
      </c>
      <c r="P208" s="14">
        <f>+P205+P206+P207</f>
        <v>365279</v>
      </c>
    </row>
    <row r="209" spans="1:16">
      <c r="A209" s="4">
        <f>+A208+31</f>
        <v>38077</v>
      </c>
      <c r="B209" s="10">
        <v>2927466</v>
      </c>
      <c r="C209" s="10">
        <v>56375</v>
      </c>
      <c r="D209" s="10">
        <f t="shared" si="28"/>
        <v>2871091</v>
      </c>
      <c r="E209">
        <v>31</v>
      </c>
      <c r="F209">
        <f t="shared" si="29"/>
        <v>91</v>
      </c>
      <c r="G209" s="16">
        <f t="shared" si="30"/>
        <v>89780.450549450543</v>
      </c>
      <c r="H209" s="10">
        <v>8076957.7199999997</v>
      </c>
      <c r="I209" s="16">
        <f t="shared" si="31"/>
        <v>89.963434918955542</v>
      </c>
      <c r="J209" s="3">
        <v>3162999.48</v>
      </c>
      <c r="O209">
        <f>31+31+30</f>
        <v>92</v>
      </c>
      <c r="P209" s="14">
        <f>+O208-P208</f>
        <v>8212892</v>
      </c>
    </row>
    <row r="210" spans="1:16">
      <c r="A210" s="4">
        <f>+A209+30</f>
        <v>38107</v>
      </c>
      <c r="B210" s="10">
        <v>3094584</v>
      </c>
      <c r="C210" s="10">
        <v>206259</v>
      </c>
      <c r="D210" s="10">
        <f t="shared" si="28"/>
        <v>2888325</v>
      </c>
      <c r="E210">
        <v>31</v>
      </c>
      <c r="F210">
        <f t="shared" si="29"/>
        <v>91</v>
      </c>
      <c r="G210" s="16">
        <f t="shared" si="30"/>
        <v>89878.868131868134</v>
      </c>
      <c r="H210" s="10">
        <v>8715574.1899999995</v>
      </c>
      <c r="I210" s="16">
        <f t="shared" si="31"/>
        <v>96.970226385280199</v>
      </c>
      <c r="J210" s="3">
        <v>2229481.87</v>
      </c>
      <c r="O210">
        <f>+O208/O209</f>
        <v>93240.989130434784</v>
      </c>
      <c r="P210">
        <f>+P209/O209</f>
        <v>89270.565217391311</v>
      </c>
    </row>
    <row r="211" spans="1:16">
      <c r="A211" s="4">
        <f>+A210+31</f>
        <v>38138</v>
      </c>
      <c r="B211" s="10">
        <v>2885491</v>
      </c>
      <c r="C211" s="10">
        <v>280695</v>
      </c>
      <c r="D211" s="10">
        <f t="shared" si="28"/>
        <v>2604796</v>
      </c>
      <c r="E211">
        <v>31</v>
      </c>
      <c r="F211">
        <f t="shared" si="29"/>
        <v>93</v>
      </c>
      <c r="G211" s="16">
        <f t="shared" si="30"/>
        <v>89937.763440860217</v>
      </c>
      <c r="H211" s="10">
        <v>8948379.3699999992</v>
      </c>
      <c r="I211" s="16">
        <f t="shared" si="31"/>
        <v>99.495240126625191</v>
      </c>
      <c r="J211" s="3">
        <v>2455342</v>
      </c>
    </row>
    <row r="212" spans="1:16">
      <c r="A212" s="4">
        <f>+A211+30</f>
        <v>38168</v>
      </c>
      <c r="B212" s="10">
        <v>3035336</v>
      </c>
      <c r="C212" s="10">
        <v>395827</v>
      </c>
      <c r="D212" s="10">
        <f t="shared" si="28"/>
        <v>2639509</v>
      </c>
      <c r="E212">
        <v>30</v>
      </c>
      <c r="F212">
        <f>+E207+E208+E209+E210+E211+E212</f>
        <v>183</v>
      </c>
      <c r="G212" s="16">
        <f>(+D207+D208+D209+D210+D211+D212)/F212</f>
        <v>89085.524590163928</v>
      </c>
      <c r="H212" s="10">
        <v>8445132.3000000007</v>
      </c>
      <c r="I212" s="16">
        <f t="shared" si="31"/>
        <v>94.798030755856843</v>
      </c>
      <c r="J212" s="3">
        <v>3075292.64</v>
      </c>
      <c r="O212">
        <v>5501035.8200000003</v>
      </c>
      <c r="P212">
        <f>+O212/P210</f>
        <v>61.622056571546295</v>
      </c>
    </row>
    <row r="213" spans="1:16">
      <c r="A213" s="4">
        <f>+A212+31</f>
        <v>38199</v>
      </c>
      <c r="B213" s="10">
        <v>2675065</v>
      </c>
      <c r="C213" s="10">
        <v>212329</v>
      </c>
      <c r="D213" s="10">
        <f t="shared" si="28"/>
        <v>2462736</v>
      </c>
      <c r="E213">
        <v>31</v>
      </c>
      <c r="F213">
        <f t="shared" ref="F213:F218" si="32">+E208+E209+E210+E211+E212+E213</f>
        <v>183</v>
      </c>
      <c r="G213" s="16">
        <f t="shared" ref="G213:G218" si="33">(+D208+D209+D210+D211+D212+D213)/F213</f>
        <v>86808.841530054648</v>
      </c>
      <c r="H213" s="10">
        <v>8191552.8600000003</v>
      </c>
      <c r="I213" s="16">
        <f t="shared" si="31"/>
        <v>94.363116885553069</v>
      </c>
      <c r="J213" s="3">
        <v>2413423.52</v>
      </c>
      <c r="O213">
        <f>+O212/O210</f>
        <v>58.998042291299626</v>
      </c>
    </row>
    <row r="214" spans="1:16">
      <c r="A214" s="4">
        <f>+A213+31</f>
        <v>38230</v>
      </c>
      <c r="B214" s="10">
        <v>3169697</v>
      </c>
      <c r="C214" s="10">
        <v>141844</v>
      </c>
      <c r="D214" s="10">
        <f t="shared" si="28"/>
        <v>3027853</v>
      </c>
      <c r="E214">
        <v>31</v>
      </c>
      <c r="F214">
        <f t="shared" si="32"/>
        <v>185</v>
      </c>
      <c r="G214" s="16">
        <f t="shared" si="33"/>
        <v>89158.432432432426</v>
      </c>
      <c r="H214" s="10">
        <v>8755827.5899999999</v>
      </c>
      <c r="I214" s="16">
        <f t="shared" si="31"/>
        <v>98.205266188764497</v>
      </c>
      <c r="J214" s="3">
        <v>2158913.5099999998</v>
      </c>
    </row>
    <row r="215" spans="1:16">
      <c r="A215" s="4">
        <f>+A214+30</f>
        <v>38260</v>
      </c>
      <c r="B215" s="10">
        <v>2711824</v>
      </c>
      <c r="C215" s="10">
        <v>180000</v>
      </c>
      <c r="D215" s="10">
        <f t="shared" si="28"/>
        <v>2531824</v>
      </c>
      <c r="E215">
        <v>30</v>
      </c>
      <c r="F215">
        <f t="shared" si="32"/>
        <v>184</v>
      </c>
      <c r="G215" s="16">
        <f t="shared" si="33"/>
        <v>87799.146739130432</v>
      </c>
      <c r="H215" s="10">
        <v>8997567.3300000001</v>
      </c>
      <c r="I215" s="16">
        <f t="shared" si="31"/>
        <v>102.47898372786752</v>
      </c>
      <c r="J215" s="3">
        <v>2275993</v>
      </c>
    </row>
    <row r="216" spans="1:16">
      <c r="A216" s="4">
        <f>+A215+31</f>
        <v>38291</v>
      </c>
      <c r="B216" s="10">
        <v>3110336</v>
      </c>
      <c r="C216" s="10">
        <v>211170</v>
      </c>
      <c r="D216" s="10">
        <f t="shared" si="28"/>
        <v>2899166</v>
      </c>
      <c r="E216">
        <v>31</v>
      </c>
      <c r="F216">
        <f t="shared" si="32"/>
        <v>184</v>
      </c>
      <c r="G216" s="16">
        <f t="shared" si="33"/>
        <v>87858.065217391311</v>
      </c>
      <c r="H216" s="10">
        <v>9438992.6799999997</v>
      </c>
      <c r="I216" s="16">
        <f>+H216/G216</f>
        <v>107.43456114865106</v>
      </c>
      <c r="J216" s="3">
        <v>2186581</v>
      </c>
    </row>
    <row r="217" spans="1:16">
      <c r="A217" s="4">
        <f>+A216+30</f>
        <v>38321</v>
      </c>
      <c r="B217" s="10">
        <v>2909482</v>
      </c>
      <c r="C217" s="10">
        <v>322031</v>
      </c>
      <c r="D217" s="10">
        <f t="shared" si="28"/>
        <v>2587451</v>
      </c>
      <c r="E217">
        <v>30</v>
      </c>
      <c r="F217">
        <f t="shared" si="32"/>
        <v>183</v>
      </c>
      <c r="G217" s="16">
        <f t="shared" si="33"/>
        <v>88243.382513661199</v>
      </c>
      <c r="H217" s="10">
        <v>8987283.7200000007</v>
      </c>
      <c r="I217" s="16">
        <f>+H217/G217</f>
        <v>101.84654604110007</v>
      </c>
      <c r="J217" s="8">
        <v>2604319</v>
      </c>
    </row>
    <row r="218" spans="1:16">
      <c r="A218" s="4">
        <f>+A217+31</f>
        <v>38352</v>
      </c>
      <c r="D218" s="10">
        <f t="shared" si="28"/>
        <v>0</v>
      </c>
      <c r="E218">
        <v>31</v>
      </c>
      <c r="F218">
        <f t="shared" si="32"/>
        <v>184</v>
      </c>
      <c r="G218" s="16">
        <f t="shared" si="33"/>
        <v>73418.641304347824</v>
      </c>
      <c r="I218" s="16">
        <f>+H218/G218</f>
        <v>0</v>
      </c>
    </row>
    <row r="219" spans="1:16">
      <c r="A219" s="4"/>
    </row>
  </sheetData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L55"/>
  <sheetViews>
    <sheetView zoomScaleNormal="100" workbookViewId="0">
      <selection activeCell="B18" sqref="B18"/>
    </sheetView>
  </sheetViews>
  <sheetFormatPr defaultRowHeight="12.75"/>
  <cols>
    <col min="1" max="1" width="4.5703125" customWidth="1"/>
    <col min="2" max="2" width="29.7109375" bestFit="1" customWidth="1"/>
    <col min="4" max="4" width="13.5703125" bestFit="1" customWidth="1"/>
    <col min="5" max="5" width="5.7109375" customWidth="1"/>
    <col min="6" max="6" width="13.42578125" hidden="1" customWidth="1"/>
    <col min="7" max="7" width="2.7109375" hidden="1" customWidth="1"/>
    <col min="8" max="8" width="13.28515625" bestFit="1" customWidth="1"/>
    <col min="10" max="10" width="17.28515625" bestFit="1" customWidth="1"/>
    <col min="12" max="12" width="17.28515625" bestFit="1" customWidth="1"/>
  </cols>
  <sheetData>
    <row r="1" spans="1:12">
      <c r="A1" s="93" t="s">
        <v>144</v>
      </c>
      <c r="B1" s="93"/>
      <c r="C1" s="93"/>
      <c r="D1" s="93"/>
      <c r="E1" s="93"/>
      <c r="F1" s="93"/>
    </row>
    <row r="2" spans="1:12">
      <c r="A2" s="93"/>
      <c r="B2" s="94"/>
      <c r="C2" s="94"/>
      <c r="D2" s="94"/>
      <c r="E2" s="94"/>
      <c r="F2" s="94"/>
    </row>
    <row r="3" spans="1:12">
      <c r="A3" s="32"/>
      <c r="B3" s="23"/>
      <c r="C3" s="23"/>
      <c r="D3" s="23"/>
      <c r="E3" s="23"/>
      <c r="F3" s="23"/>
    </row>
    <row r="4" spans="1:12">
      <c r="D4" s="23" t="s">
        <v>99</v>
      </c>
      <c r="E4" s="23"/>
      <c r="F4" s="23" t="s">
        <v>99</v>
      </c>
      <c r="H4" s="23" t="s">
        <v>99</v>
      </c>
    </row>
    <row r="5" spans="1:12">
      <c r="D5" s="23">
        <v>2008</v>
      </c>
      <c r="E5" s="23"/>
      <c r="F5" s="23">
        <v>2006</v>
      </c>
      <c r="H5" s="23">
        <v>2007</v>
      </c>
    </row>
    <row r="6" spans="1:12">
      <c r="A6" t="s">
        <v>100</v>
      </c>
      <c r="D6" s="23"/>
      <c r="E6" s="23"/>
      <c r="F6" s="23"/>
    </row>
    <row r="7" spans="1:12">
      <c r="B7" t="s">
        <v>174</v>
      </c>
      <c r="D7" s="37">
        <f>853151.7-112214.53</f>
        <v>740937.16999999993</v>
      </c>
      <c r="E7" s="37"/>
      <c r="F7" s="37">
        <v>1593236.3</v>
      </c>
      <c r="H7" s="37">
        <f>293722.47-110129</f>
        <v>183593.46999999997</v>
      </c>
      <c r="J7" s="33"/>
      <c r="L7" s="33"/>
    </row>
    <row r="8" spans="1:12">
      <c r="B8" t="s">
        <v>182</v>
      </c>
      <c r="D8" s="37">
        <v>0</v>
      </c>
      <c r="E8" s="37"/>
      <c r="F8" s="37"/>
      <c r="H8" s="37">
        <v>0</v>
      </c>
      <c r="J8" s="33"/>
      <c r="L8" s="33"/>
    </row>
    <row r="9" spans="1:12">
      <c r="B9" t="s">
        <v>178</v>
      </c>
      <c r="D9" s="37">
        <v>0</v>
      </c>
      <c r="E9" s="37"/>
      <c r="F9" s="37"/>
      <c r="H9" s="37">
        <v>0</v>
      </c>
      <c r="J9" s="33"/>
      <c r="L9" s="33"/>
    </row>
    <row r="10" spans="1:12">
      <c r="B10" t="s">
        <v>179</v>
      </c>
      <c r="D10" s="37">
        <v>0</v>
      </c>
      <c r="E10" s="37"/>
      <c r="F10" s="37"/>
      <c r="H10" s="37">
        <v>0</v>
      </c>
      <c r="J10" s="33"/>
      <c r="L10" s="33"/>
    </row>
    <row r="11" spans="1:12">
      <c r="B11" t="s">
        <v>175</v>
      </c>
      <c r="D11" s="84">
        <v>112214.53</v>
      </c>
      <c r="E11" s="37"/>
      <c r="F11" s="37"/>
      <c r="H11" s="37">
        <v>110129</v>
      </c>
      <c r="J11" s="33"/>
      <c r="L11" s="33"/>
    </row>
    <row r="12" spans="1:12">
      <c r="B12" t="s">
        <v>172</v>
      </c>
      <c r="D12" s="38">
        <v>814726.78</v>
      </c>
      <c r="E12" s="37"/>
      <c r="F12" s="37"/>
      <c r="H12" s="38">
        <v>2919150</v>
      </c>
      <c r="J12" s="33"/>
      <c r="L12" s="33"/>
    </row>
    <row r="13" spans="1:12">
      <c r="B13" s="7" t="s">
        <v>176</v>
      </c>
      <c r="D13" s="87">
        <f>SUM(D7:D12)</f>
        <v>1667878.48</v>
      </c>
      <c r="E13" s="37"/>
      <c r="F13" s="37"/>
      <c r="H13" s="87">
        <f>SUM(H7:H12)</f>
        <v>3212872.4699999997</v>
      </c>
      <c r="J13" s="33"/>
      <c r="L13" s="33"/>
    </row>
    <row r="14" spans="1:12">
      <c r="B14" t="s">
        <v>101</v>
      </c>
      <c r="D14" s="37">
        <v>11381265.869999999</v>
      </c>
      <c r="E14" s="37"/>
      <c r="F14" s="37">
        <v>15537785.91</v>
      </c>
      <c r="H14" s="37">
        <v>15146270.07</v>
      </c>
      <c r="J14" s="33"/>
      <c r="L14" s="33"/>
    </row>
    <row r="15" spans="1:12">
      <c r="B15" t="s">
        <v>102</v>
      </c>
      <c r="D15" s="38">
        <v>-7026565.5</v>
      </c>
      <c r="E15" s="37"/>
      <c r="F15" s="38">
        <v>-9272732.4000000004</v>
      </c>
      <c r="H15" s="38">
        <v>-8949825.6999999993</v>
      </c>
    </row>
    <row r="16" spans="1:12">
      <c r="B16" t="s">
        <v>103</v>
      </c>
      <c r="D16" s="37">
        <f>+D14+D15</f>
        <v>4354700.3699999992</v>
      </c>
      <c r="E16" s="37"/>
      <c r="F16" s="37">
        <f>+F14+F15</f>
        <v>6265053.5099999998</v>
      </c>
      <c r="H16" s="37">
        <f>+H14+H15</f>
        <v>6196444.370000001</v>
      </c>
      <c r="J16" s="33"/>
      <c r="L16" s="33"/>
    </row>
    <row r="17" spans="1:12">
      <c r="B17" t="s">
        <v>104</v>
      </c>
      <c r="D17" s="37">
        <v>1341433.18</v>
      </c>
      <c r="E17" s="37"/>
      <c r="F17" s="37">
        <v>1515129.35</v>
      </c>
      <c r="H17" s="37">
        <v>1114944.6599999999</v>
      </c>
      <c r="J17" s="33"/>
      <c r="L17" s="33"/>
    </row>
    <row r="18" spans="1:12">
      <c r="B18" t="s">
        <v>105</v>
      </c>
      <c r="D18" s="37">
        <v>989313.18</v>
      </c>
      <c r="E18" s="37"/>
      <c r="F18" s="37">
        <v>799702.33</v>
      </c>
      <c r="H18" s="37">
        <v>990428.68</v>
      </c>
      <c r="J18" s="33"/>
      <c r="L18" s="33"/>
    </row>
    <row r="19" spans="1:12">
      <c r="B19" t="s">
        <v>106</v>
      </c>
      <c r="D19" s="84">
        <v>208633.63</v>
      </c>
      <c r="E19" s="37"/>
      <c r="F19" s="38">
        <v>504849.29</v>
      </c>
      <c r="H19" s="84">
        <v>366818</v>
      </c>
    </row>
    <row r="20" spans="1:12">
      <c r="B20" t="s">
        <v>120</v>
      </c>
      <c r="D20" s="38">
        <v>-2908917</v>
      </c>
      <c r="E20" s="37"/>
      <c r="F20" s="84"/>
      <c r="H20" s="38">
        <v>3720670.59</v>
      </c>
    </row>
    <row r="21" spans="1:12">
      <c r="B21" t="s">
        <v>107</v>
      </c>
      <c r="D21" s="37">
        <f>+D13+D16+D17+D18+D19+D20</f>
        <v>5653041.8399999999</v>
      </c>
      <c r="E21" s="37"/>
      <c r="F21" s="37">
        <f>+F7+F16+F17+F18+F19</f>
        <v>10677970.779999999</v>
      </c>
      <c r="H21" s="37">
        <f>+H13+H16+H17+H18+H19+H20</f>
        <v>15602178.77</v>
      </c>
      <c r="J21" s="33"/>
      <c r="L21" s="33"/>
    </row>
    <row r="22" spans="1:12">
      <c r="D22" s="37"/>
      <c r="E22" s="37"/>
      <c r="F22" s="37"/>
      <c r="H22" s="37"/>
      <c r="L22" s="33"/>
    </row>
    <row r="23" spans="1:12">
      <c r="B23" t="s">
        <v>180</v>
      </c>
      <c r="D23" s="37">
        <v>3700000</v>
      </c>
      <c r="E23" s="37"/>
      <c r="F23" s="37">
        <v>0</v>
      </c>
      <c r="H23" s="37">
        <v>0</v>
      </c>
    </row>
    <row r="24" spans="1:12">
      <c r="D24" s="37"/>
      <c r="E24" s="37"/>
      <c r="F24" s="37"/>
      <c r="H24" s="37"/>
    </row>
    <row r="25" spans="1:12">
      <c r="A25" t="s">
        <v>108</v>
      </c>
      <c r="D25" s="37"/>
      <c r="E25" s="37"/>
      <c r="F25" s="37"/>
      <c r="H25" s="37"/>
      <c r="J25" s="33"/>
      <c r="L25" s="33"/>
    </row>
    <row r="26" spans="1:12">
      <c r="B26" t="s">
        <v>109</v>
      </c>
      <c r="D26" s="37">
        <v>1574979.96</v>
      </c>
      <c r="E26" s="37"/>
      <c r="F26" s="37">
        <v>1568834.5600000001</v>
      </c>
      <c r="H26" s="37">
        <v>1576736.56</v>
      </c>
      <c r="J26" s="33"/>
      <c r="L26" s="33"/>
    </row>
    <row r="27" spans="1:12">
      <c r="B27" t="s">
        <v>110</v>
      </c>
      <c r="D27" s="37">
        <v>27124052.460000001</v>
      </c>
      <c r="E27" s="37"/>
      <c r="F27" s="37">
        <v>26153374.629999999</v>
      </c>
      <c r="H27" s="37">
        <v>26293485.890000001</v>
      </c>
    </row>
    <row r="28" spans="1:12">
      <c r="B28" t="s">
        <v>111</v>
      </c>
      <c r="D28" s="38">
        <v>30196360.579999998</v>
      </c>
      <c r="E28" s="37"/>
      <c r="F28" s="38">
        <v>28865616.690000001</v>
      </c>
      <c r="H28" s="38">
        <v>29627728.07</v>
      </c>
      <c r="J28" s="33"/>
      <c r="L28" s="33"/>
    </row>
    <row r="29" spans="1:12">
      <c r="B29" t="s">
        <v>140</v>
      </c>
      <c r="D29" s="37">
        <f>+D26+D27+D28</f>
        <v>58895393</v>
      </c>
      <c r="E29" s="37"/>
      <c r="F29" s="37">
        <f>+F26+F27+F28</f>
        <v>56587825.879999995</v>
      </c>
      <c r="H29" s="37">
        <f>+H26+H27+H28</f>
        <v>57497950.519999996</v>
      </c>
      <c r="J29" s="33"/>
      <c r="L29" s="33"/>
    </row>
    <row r="30" spans="1:12">
      <c r="B30" t="s">
        <v>112</v>
      </c>
      <c r="D30" s="37">
        <v>-40352076.140000001</v>
      </c>
      <c r="E30" s="37"/>
      <c r="F30" s="37">
        <v>-35169049.049999997</v>
      </c>
      <c r="H30" s="37">
        <v>-38086953.659999996</v>
      </c>
      <c r="J30" s="33"/>
      <c r="L30" s="33"/>
    </row>
    <row r="31" spans="1:12">
      <c r="B31" t="s">
        <v>113</v>
      </c>
      <c r="D31" s="37">
        <f>+D29+D30</f>
        <v>18543316.859999999</v>
      </c>
      <c r="E31" s="37"/>
      <c r="F31" s="37">
        <f>+F29+F30</f>
        <v>21418776.829999998</v>
      </c>
      <c r="H31" s="37">
        <f>+H29+H30</f>
        <v>19410996.859999999</v>
      </c>
    </row>
    <row r="32" spans="1:12">
      <c r="A32" t="s">
        <v>114</v>
      </c>
      <c r="D32" s="38">
        <v>187885.72</v>
      </c>
      <c r="E32" s="37"/>
      <c r="F32" s="38">
        <v>199628.72</v>
      </c>
      <c r="H32" s="38">
        <v>187885.72</v>
      </c>
      <c r="J32" s="33"/>
      <c r="L32" s="33"/>
    </row>
    <row r="33" spans="1:12" ht="13.5" thickBot="1">
      <c r="A33" t="s">
        <v>115</v>
      </c>
      <c r="D33" s="40">
        <f>+D21+D23+D31+D32</f>
        <v>28084244.419999998</v>
      </c>
      <c r="E33" s="37"/>
      <c r="F33" s="40">
        <f>+F21+F23+F31+F32</f>
        <v>32296376.329999998</v>
      </c>
      <c r="H33" s="40">
        <f>+H21+H23+H31+H32</f>
        <v>35201061.349999994</v>
      </c>
    </row>
    <row r="34" spans="1:12" ht="13.5" thickTop="1">
      <c r="D34" s="37"/>
      <c r="E34" s="37"/>
      <c r="F34" s="37"/>
      <c r="H34" s="37"/>
    </row>
    <row r="35" spans="1:12">
      <c r="A35" t="s">
        <v>116</v>
      </c>
      <c r="D35" s="37"/>
      <c r="E35" s="37"/>
      <c r="F35" s="37"/>
      <c r="H35" s="37"/>
    </row>
    <row r="36" spans="1:12">
      <c r="B36" t="s">
        <v>117</v>
      </c>
      <c r="D36" s="37"/>
      <c r="E36" s="37"/>
      <c r="F36" s="37"/>
      <c r="H36" s="37"/>
    </row>
    <row r="37" spans="1:12">
      <c r="B37" t="s">
        <v>118</v>
      </c>
      <c r="D37" s="37">
        <v>3121159.85</v>
      </c>
      <c r="E37" s="37"/>
      <c r="F37" s="37">
        <v>1688533.34</v>
      </c>
      <c r="H37" s="37">
        <v>2956095.42</v>
      </c>
      <c r="J37" s="33"/>
      <c r="L37" s="33"/>
    </row>
    <row r="38" spans="1:12" hidden="1">
      <c r="B38" t="s">
        <v>119</v>
      </c>
      <c r="D38" s="37">
        <v>0</v>
      </c>
      <c r="E38" s="37"/>
      <c r="F38" s="37">
        <v>460460.24</v>
      </c>
      <c r="H38" s="37">
        <v>0</v>
      </c>
      <c r="J38" s="33"/>
      <c r="L38" s="33"/>
    </row>
    <row r="39" spans="1:12" hidden="1">
      <c r="B39" t="s">
        <v>120</v>
      </c>
      <c r="D39" s="37">
        <v>0</v>
      </c>
      <c r="E39" s="37"/>
      <c r="F39" s="37">
        <v>-1045019.46</v>
      </c>
      <c r="H39" s="37">
        <v>0</v>
      </c>
      <c r="I39" s="37"/>
      <c r="J39" s="33"/>
      <c r="L39" s="33"/>
    </row>
    <row r="40" spans="1:12">
      <c r="B40" t="s">
        <v>121</v>
      </c>
      <c r="D40" s="37">
        <v>1467550.11</v>
      </c>
      <c r="E40" s="37"/>
      <c r="F40" s="37">
        <v>1261207.02</v>
      </c>
      <c r="H40" s="37">
        <v>1421173.55</v>
      </c>
      <c r="J40" s="33"/>
      <c r="L40" s="33"/>
    </row>
    <row r="41" spans="1:12">
      <c r="B41" t="s">
        <v>177</v>
      </c>
      <c r="D41" s="37">
        <v>7744</v>
      </c>
      <c r="E41" s="37"/>
      <c r="F41" s="37">
        <v>8614.7999999999993</v>
      </c>
      <c r="H41" s="37">
        <v>991</v>
      </c>
      <c r="J41" s="33"/>
      <c r="L41" s="33"/>
    </row>
    <row r="42" spans="1:12">
      <c r="B42" t="s">
        <v>122</v>
      </c>
      <c r="D42" s="37">
        <v>488808.39</v>
      </c>
      <c r="E42" s="37"/>
      <c r="F42" s="37">
        <v>120478.85</v>
      </c>
      <c r="H42" s="37">
        <v>498698.79</v>
      </c>
      <c r="J42" s="33"/>
      <c r="L42" s="33"/>
    </row>
    <row r="43" spans="1:12">
      <c r="B43" t="s">
        <v>123</v>
      </c>
      <c r="D43" s="38">
        <v>7205000</v>
      </c>
      <c r="E43" s="37"/>
      <c r="F43" s="38">
        <v>310000</v>
      </c>
      <c r="H43" s="38">
        <v>325000</v>
      </c>
    </row>
    <row r="44" spans="1:12">
      <c r="B44" t="s">
        <v>124</v>
      </c>
      <c r="D44" s="39">
        <f>+D42+D43</f>
        <v>7693808.3899999997</v>
      </c>
      <c r="E44" s="37"/>
      <c r="F44" s="39">
        <f>+F42+F43</f>
        <v>430478.85</v>
      </c>
      <c r="H44" s="39">
        <f>+H42+H43</f>
        <v>823698.79</v>
      </c>
    </row>
    <row r="45" spans="1:12">
      <c r="B45" t="s">
        <v>125</v>
      </c>
      <c r="D45" s="37">
        <f>+D37+D38+D39+D40+D41+D44</f>
        <v>12290262.35</v>
      </c>
      <c r="E45" s="37"/>
      <c r="F45" s="37">
        <f>+F37+F38+F39+F40+F41+F44</f>
        <v>2804274.79</v>
      </c>
      <c r="H45" s="37">
        <f>+H37+H38+H39+H40+H41+H44</f>
        <v>5201958.76</v>
      </c>
      <c r="J45" s="33"/>
      <c r="L45" s="33"/>
    </row>
    <row r="46" spans="1:12">
      <c r="A46" t="s">
        <v>162</v>
      </c>
      <c r="D46" s="37"/>
      <c r="E46" s="37"/>
      <c r="F46" s="37"/>
      <c r="H46" s="37"/>
    </row>
    <row r="47" spans="1:12">
      <c r="B47" t="s">
        <v>126</v>
      </c>
      <c r="D47" s="37">
        <v>0</v>
      </c>
      <c r="E47" s="37"/>
      <c r="F47" s="37">
        <f>7515000-F43</f>
        <v>7205000</v>
      </c>
      <c r="H47" s="37">
        <v>6880000</v>
      </c>
      <c r="J47" s="33"/>
      <c r="L47" s="33"/>
    </row>
    <row r="48" spans="1:12">
      <c r="B48" t="s">
        <v>127</v>
      </c>
      <c r="D48" s="38">
        <v>642610.43999999994</v>
      </c>
      <c r="E48" s="37"/>
      <c r="F48" s="38">
        <v>1009901.13</v>
      </c>
      <c r="H48" s="38">
        <v>1066390.44</v>
      </c>
    </row>
    <row r="49" spans="1:12">
      <c r="B49" t="s">
        <v>128</v>
      </c>
      <c r="D49" s="37">
        <f>+D47+D48</f>
        <v>642610.43999999994</v>
      </c>
      <c r="E49" s="37"/>
      <c r="F49" s="37">
        <f>+F47+F48</f>
        <v>8214901.1299999999</v>
      </c>
      <c r="H49" s="37">
        <f>+H47+H48</f>
        <v>7946390.4399999995</v>
      </c>
      <c r="J49" s="33"/>
      <c r="L49" s="33"/>
    </row>
    <row r="50" spans="1:12">
      <c r="D50" s="37"/>
      <c r="E50" s="37"/>
      <c r="F50" s="37"/>
      <c r="H50" s="37"/>
    </row>
    <row r="51" spans="1:12">
      <c r="B51" t="s">
        <v>129</v>
      </c>
      <c r="D51" s="38">
        <v>15151371.630000001</v>
      </c>
      <c r="E51" s="37"/>
      <c r="F51" s="38">
        <v>21277200.41</v>
      </c>
      <c r="H51" s="38">
        <v>22052712.18</v>
      </c>
      <c r="J51" s="33"/>
      <c r="L51" s="33"/>
    </row>
    <row r="52" spans="1:12" ht="13.5" thickBot="1">
      <c r="A52" t="s">
        <v>130</v>
      </c>
      <c r="D52" s="40">
        <f>+D45+D49+D51</f>
        <v>28084244.420000002</v>
      </c>
      <c r="E52" s="37"/>
      <c r="F52" s="40">
        <f>+F45+F49+F51</f>
        <v>32296376.329999998</v>
      </c>
      <c r="H52" s="40">
        <f>+H45+H49+H51</f>
        <v>35201061.379999995</v>
      </c>
      <c r="J52" s="33"/>
      <c r="L52" s="33"/>
    </row>
    <row r="53" spans="1:12" ht="13.5" thickTop="1"/>
    <row r="54" spans="1:12">
      <c r="D54" s="37"/>
    </row>
    <row r="55" spans="1:12">
      <c r="D55" s="37"/>
    </row>
  </sheetData>
  <mergeCells count="2">
    <mergeCell ref="A1:F1"/>
    <mergeCell ref="A2:F2"/>
  </mergeCells>
  <phoneticPr fontId="4" type="noConversion"/>
  <pageMargins left="1.5" right="0.75" top="0.21" bottom="0.5" header="0.5" footer="0.5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56"/>
  <sheetViews>
    <sheetView topLeftCell="A124" zoomScaleNormal="100" workbookViewId="0">
      <selection activeCell="G158" sqref="G158"/>
    </sheetView>
  </sheetViews>
  <sheetFormatPr defaultRowHeight="12.75"/>
  <sheetData>
    <row r="1" spans="1:1">
      <c r="A1" t="s">
        <v>31</v>
      </c>
    </row>
    <row r="126" ht="12" customHeight="1"/>
    <row r="146" spans="1:5">
      <c r="A146" t="s">
        <v>31</v>
      </c>
    </row>
    <row r="156" spans="1:5">
      <c r="E156" t="s">
        <v>31</v>
      </c>
    </row>
  </sheetData>
  <phoneticPr fontId="4" type="noConversion"/>
  <pageMargins left="0.75" right="0.5" top="0.75" bottom="0.5" header="0.5" footer="0.5"/>
  <pageSetup scale="93" orientation="portrait" r:id="rId1"/>
  <headerFooter alignWithMargins="0"/>
  <rowBreaks count="2" manualBreakCount="2">
    <brk id="57" max="16383" man="1"/>
    <brk id="11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26"/>
  <sheetViews>
    <sheetView workbookViewId="0">
      <selection activeCell="B25" sqref="B25"/>
    </sheetView>
  </sheetViews>
  <sheetFormatPr defaultRowHeight="12.75"/>
  <cols>
    <col min="5" max="5" width="16.140625" bestFit="1" customWidth="1"/>
  </cols>
  <sheetData>
    <row r="1" spans="1:7" ht="15.75">
      <c r="A1" s="95" t="s">
        <v>31</v>
      </c>
      <c r="B1" s="94"/>
      <c r="C1" s="94"/>
      <c r="D1" s="94"/>
      <c r="E1" s="94"/>
      <c r="F1" s="94"/>
      <c r="G1" s="94"/>
    </row>
    <row r="2" spans="1:7" ht="15.75">
      <c r="A2" s="95" t="s">
        <v>131</v>
      </c>
      <c r="B2" s="96"/>
      <c r="C2" s="96"/>
      <c r="D2" s="96"/>
      <c r="E2" s="96"/>
      <c r="F2" s="96"/>
      <c r="G2" s="96"/>
    </row>
    <row r="3" spans="1:7" ht="15.75">
      <c r="A3" s="97" t="s">
        <v>181</v>
      </c>
      <c r="B3" s="98"/>
      <c r="C3" s="98"/>
      <c r="D3" s="98"/>
      <c r="E3" s="98"/>
      <c r="F3" s="98"/>
      <c r="G3" s="98"/>
    </row>
    <row r="4" spans="1:7" ht="15.75">
      <c r="A4" s="34"/>
      <c r="E4" s="14"/>
    </row>
    <row r="5" spans="1:7">
      <c r="E5" s="14"/>
    </row>
    <row r="6" spans="1:7">
      <c r="E6" s="14"/>
    </row>
    <row r="7" spans="1:7">
      <c r="E7" s="14"/>
    </row>
    <row r="8" spans="1:7" ht="13.5" thickBot="1">
      <c r="B8" t="s">
        <v>132</v>
      </c>
      <c r="E8" s="88">
        <v>46915.72</v>
      </c>
    </row>
    <row r="9" spans="1:7">
      <c r="E9" s="14"/>
    </row>
    <row r="10" spans="1:7" ht="15.75">
      <c r="B10" s="34" t="s">
        <v>133</v>
      </c>
      <c r="C10" s="34"/>
      <c r="D10" s="34"/>
      <c r="E10" s="35">
        <f>+E8</f>
        <v>46915.72</v>
      </c>
    </row>
    <row r="11" spans="1:7">
      <c r="E11" s="14"/>
    </row>
    <row r="12" spans="1:7">
      <c r="E12" s="14"/>
    </row>
    <row r="13" spans="1:7">
      <c r="E13" s="14"/>
    </row>
    <row r="14" spans="1:7" ht="16.5" thickBot="1">
      <c r="B14" s="34" t="s">
        <v>134</v>
      </c>
      <c r="C14" s="34"/>
      <c r="D14" s="34"/>
      <c r="E14" s="36">
        <f>+E10+E12</f>
        <v>46915.72</v>
      </c>
    </row>
    <row r="15" spans="1:7" ht="13.5" thickTop="1">
      <c r="E15" s="14"/>
    </row>
    <row r="16" spans="1:7">
      <c r="E16" s="14"/>
    </row>
    <row r="17" spans="1:5">
      <c r="E17" s="14"/>
    </row>
    <row r="18" spans="1:5" ht="15.75">
      <c r="A18" s="34" t="s">
        <v>135</v>
      </c>
      <c r="E18" s="14"/>
    </row>
    <row r="19" spans="1:5" ht="15.75">
      <c r="A19" s="34"/>
      <c r="B19" t="s">
        <v>136</v>
      </c>
      <c r="E19" s="14">
        <v>107.29</v>
      </c>
    </row>
    <row r="20" spans="1:5">
      <c r="B20" t="s">
        <v>137</v>
      </c>
      <c r="E20" s="14">
        <v>17918.93</v>
      </c>
    </row>
    <row r="21" spans="1:5">
      <c r="E21" s="14" t="s">
        <v>31</v>
      </c>
    </row>
    <row r="22" spans="1:5">
      <c r="E22" s="92"/>
    </row>
    <row r="23" spans="1:5">
      <c r="E23" s="85"/>
    </row>
    <row r="24" spans="1:5" ht="15.75">
      <c r="E24" s="35">
        <f>SUM(E19:E23)</f>
        <v>18026.22</v>
      </c>
    </row>
    <row r="25" spans="1:5">
      <c r="E25" s="14"/>
    </row>
    <row r="26" spans="1:5">
      <c r="E26" s="14"/>
    </row>
  </sheetData>
  <mergeCells count="3">
    <mergeCell ref="A1:G1"/>
    <mergeCell ref="A2:G2"/>
    <mergeCell ref="A3:G3"/>
  </mergeCells>
  <phoneticPr fontId="4" type="noConversion"/>
  <pageMargins left="2.38" right="0.75" top="1" bottom="1" header="0.51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0"/>
  <sheetViews>
    <sheetView workbookViewId="0">
      <selection activeCell="H17" sqref="H17"/>
    </sheetView>
  </sheetViews>
  <sheetFormatPr defaultRowHeight="12.75"/>
  <cols>
    <col min="2" max="2" width="5" hidden="1" customWidth="1"/>
    <col min="3" max="3" width="7.28515625" hidden="1" customWidth="1"/>
    <col min="4" max="4" width="0" hidden="1" customWidth="1"/>
  </cols>
  <sheetData>
    <row r="1" spans="1:20">
      <c r="A1" t="s">
        <v>0</v>
      </c>
    </row>
    <row r="4" spans="1:20">
      <c r="B4" s="12">
        <v>2000</v>
      </c>
      <c r="C4" s="12">
        <v>2001</v>
      </c>
      <c r="D4" s="12">
        <v>2004</v>
      </c>
      <c r="E4" s="12">
        <v>2005</v>
      </c>
      <c r="F4" s="12">
        <v>2006</v>
      </c>
      <c r="G4" s="12">
        <v>2007</v>
      </c>
      <c r="H4" s="12">
        <v>2008</v>
      </c>
      <c r="S4" s="12">
        <v>2002</v>
      </c>
      <c r="T4" s="12">
        <v>2003</v>
      </c>
    </row>
    <row r="5" spans="1:20">
      <c r="A5" t="s">
        <v>32</v>
      </c>
      <c r="B5">
        <v>239</v>
      </c>
      <c r="C5">
        <f>267-21</f>
        <v>246</v>
      </c>
      <c r="D5">
        <f>252-11</f>
        <v>241</v>
      </c>
      <c r="E5">
        <f>219-17</f>
        <v>202</v>
      </c>
      <c r="F5">
        <f>198-17</f>
        <v>181</v>
      </c>
      <c r="G5">
        <f>197-17</f>
        <v>180</v>
      </c>
      <c r="H5">
        <v>139</v>
      </c>
      <c r="S5">
        <v>220</v>
      </c>
      <c r="T5">
        <v>165</v>
      </c>
    </row>
    <row r="6" spans="1:20">
      <c r="A6" t="s">
        <v>33</v>
      </c>
      <c r="B6">
        <f>264-23</f>
        <v>241</v>
      </c>
      <c r="C6">
        <f>261-13</f>
        <v>248</v>
      </c>
      <c r="D6">
        <f>259-19</f>
        <v>240</v>
      </c>
      <c r="E6">
        <f>288-22</f>
        <v>266</v>
      </c>
      <c r="F6">
        <v>152</v>
      </c>
      <c r="G6">
        <f>175-21</f>
        <v>154</v>
      </c>
      <c r="H6">
        <v>161</v>
      </c>
      <c r="S6">
        <v>200</v>
      </c>
      <c r="T6">
        <v>146</v>
      </c>
    </row>
    <row r="7" spans="1:20">
      <c r="A7" t="s">
        <v>34</v>
      </c>
      <c r="B7">
        <f>223-21</f>
        <v>202</v>
      </c>
      <c r="C7">
        <f>317-29</f>
        <v>288</v>
      </c>
      <c r="D7">
        <f>252-19</f>
        <v>233</v>
      </c>
      <c r="E7">
        <f>302-26</f>
        <v>276</v>
      </c>
      <c r="F7">
        <f>205-15</f>
        <v>190</v>
      </c>
      <c r="G7">
        <f>207-27</f>
        <v>180</v>
      </c>
      <c r="H7">
        <v>152</v>
      </c>
      <c r="S7">
        <f>197-21</f>
        <v>176</v>
      </c>
      <c r="T7">
        <v>158</v>
      </c>
    </row>
    <row r="8" spans="1:20">
      <c r="A8" t="s">
        <v>35</v>
      </c>
      <c r="B8">
        <f>231-24</f>
        <v>207</v>
      </c>
      <c r="C8">
        <v>236</v>
      </c>
      <c r="D8">
        <v>215</v>
      </c>
      <c r="E8">
        <f>241-16</f>
        <v>225</v>
      </c>
      <c r="F8">
        <f>180-19</f>
        <v>161</v>
      </c>
      <c r="G8">
        <v>170</v>
      </c>
      <c r="H8">
        <v>150</v>
      </c>
      <c r="S8">
        <v>183</v>
      </c>
      <c r="T8">
        <f>193-15</f>
        <v>178</v>
      </c>
    </row>
    <row r="9" spans="1:20">
      <c r="A9" t="s">
        <v>5</v>
      </c>
      <c r="B9">
        <f>240-28</f>
        <v>212</v>
      </c>
      <c r="C9">
        <v>214</v>
      </c>
      <c r="D9">
        <f>239-15</f>
        <v>224</v>
      </c>
      <c r="E9">
        <f>207-23</f>
        <v>184</v>
      </c>
      <c r="F9">
        <v>166</v>
      </c>
      <c r="G9">
        <v>172</v>
      </c>
      <c r="H9">
        <v>132</v>
      </c>
      <c r="S9">
        <v>194</v>
      </c>
      <c r="T9">
        <v>160</v>
      </c>
    </row>
    <row r="10" spans="1:20">
      <c r="A10" t="s">
        <v>141</v>
      </c>
      <c r="B10">
        <f>240-33</f>
        <v>207</v>
      </c>
      <c r="C10">
        <v>214</v>
      </c>
      <c r="D10">
        <f>212-16</f>
        <v>196</v>
      </c>
      <c r="E10">
        <f>232-22</f>
        <v>210</v>
      </c>
      <c r="F10">
        <f>215-20</f>
        <v>195</v>
      </c>
      <c r="G10">
        <v>162</v>
      </c>
      <c r="H10">
        <v>140</v>
      </c>
      <c r="S10">
        <v>147</v>
      </c>
      <c r="T10">
        <v>219</v>
      </c>
    </row>
    <row r="11" spans="1:20">
      <c r="A11" t="s">
        <v>142</v>
      </c>
      <c r="B11">
        <f>225-27</f>
        <v>198</v>
      </c>
      <c r="C11">
        <v>219</v>
      </c>
      <c r="D11">
        <v>187</v>
      </c>
      <c r="E11">
        <f>216-17</f>
        <v>199</v>
      </c>
      <c r="F11">
        <f>186-18</f>
        <v>168</v>
      </c>
      <c r="G11">
        <v>150</v>
      </c>
      <c r="H11">
        <v>112</v>
      </c>
      <c r="S11">
        <v>153</v>
      </c>
      <c r="T11">
        <v>187</v>
      </c>
    </row>
    <row r="12" spans="1:20">
      <c r="A12" t="s">
        <v>8</v>
      </c>
      <c r="B12">
        <f>230-24</f>
        <v>206</v>
      </c>
      <c r="C12">
        <v>249</v>
      </c>
      <c r="D12">
        <f>211-16</f>
        <v>195</v>
      </c>
      <c r="E12">
        <f>216-24</f>
        <v>192</v>
      </c>
      <c r="F12">
        <f>217-29</f>
        <v>188</v>
      </c>
      <c r="G12">
        <v>155</v>
      </c>
      <c r="H12">
        <v>117</v>
      </c>
      <c r="S12">
        <f>155-7</f>
        <v>148</v>
      </c>
      <c r="T12">
        <v>238</v>
      </c>
    </row>
    <row r="13" spans="1:20">
      <c r="A13" t="s">
        <v>143</v>
      </c>
      <c r="B13">
        <f>226-21</f>
        <v>205</v>
      </c>
      <c r="C13">
        <v>169</v>
      </c>
      <c r="D13">
        <f>207-16</f>
        <v>191</v>
      </c>
      <c r="E13">
        <f>238-29</f>
        <v>209</v>
      </c>
      <c r="F13">
        <f>157-13</f>
        <v>144</v>
      </c>
      <c r="G13">
        <v>165</v>
      </c>
      <c r="H13">
        <v>126</v>
      </c>
      <c r="S13">
        <v>157</v>
      </c>
      <c r="T13">
        <v>202</v>
      </c>
    </row>
    <row r="14" spans="1:20">
      <c r="A14" t="s">
        <v>36</v>
      </c>
      <c r="B14">
        <f>267-14</f>
        <v>253</v>
      </c>
      <c r="C14">
        <v>213</v>
      </c>
      <c r="D14">
        <f>225-22</f>
        <v>203</v>
      </c>
      <c r="E14">
        <f>222-28</f>
        <v>194</v>
      </c>
      <c r="F14">
        <f>213-27</f>
        <v>186</v>
      </c>
      <c r="G14">
        <v>155</v>
      </c>
      <c r="H14">
        <v>108</v>
      </c>
      <c r="S14">
        <f>186-17</f>
        <v>169</v>
      </c>
      <c r="T14">
        <v>228</v>
      </c>
    </row>
    <row r="15" spans="1:20">
      <c r="A15" t="s">
        <v>37</v>
      </c>
      <c r="B15">
        <f>223-22</f>
        <v>201</v>
      </c>
      <c r="C15">
        <v>205</v>
      </c>
      <c r="D15">
        <f>225-31</f>
        <v>194</v>
      </c>
      <c r="E15">
        <f>220-19</f>
        <v>201</v>
      </c>
      <c r="F15">
        <f>183-13</f>
        <v>170</v>
      </c>
      <c r="G15">
        <v>163</v>
      </c>
      <c r="H15">
        <v>108</v>
      </c>
      <c r="S15">
        <v>145</v>
      </c>
      <c r="T15">
        <v>235</v>
      </c>
    </row>
    <row r="16" spans="1:20">
      <c r="A16" t="s">
        <v>12</v>
      </c>
      <c r="B16">
        <f>279-22</f>
        <v>257</v>
      </c>
      <c r="C16">
        <f>202-16</f>
        <v>186</v>
      </c>
      <c r="D16">
        <f>228-27</f>
        <v>201</v>
      </c>
      <c r="E16">
        <f>202-22</f>
        <v>180</v>
      </c>
      <c r="F16">
        <v>183</v>
      </c>
      <c r="G16">
        <v>153</v>
      </c>
      <c r="H16">
        <v>141</v>
      </c>
      <c r="S16">
        <f>190-15</f>
        <v>175</v>
      </c>
      <c r="T16">
        <v>252</v>
      </c>
    </row>
    <row r="18" spans="2:19">
      <c r="B18">
        <f>SUM(B5:B12)</f>
        <v>1712</v>
      </c>
      <c r="C18">
        <f>SUM(C5:C17)</f>
        <v>2687</v>
      </c>
      <c r="D18">
        <f>SUM(D5:D17)</f>
        <v>2520</v>
      </c>
      <c r="S18">
        <f>SUM(S5:S17)</f>
        <v>2067</v>
      </c>
    </row>
    <row r="19" spans="2:19">
      <c r="C19">
        <f>+C18-B18</f>
        <v>975</v>
      </c>
    </row>
    <row r="20" spans="2:19">
      <c r="C20" s="2">
        <f>+C19/B18</f>
        <v>0.5695093457943925</v>
      </c>
      <c r="D20" s="2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20"/>
  <sheetViews>
    <sheetView workbookViewId="0">
      <selection activeCell="H17" sqref="H17"/>
    </sheetView>
  </sheetViews>
  <sheetFormatPr defaultRowHeight="12.75"/>
  <cols>
    <col min="2" max="4" width="0" hidden="1" customWidth="1"/>
  </cols>
  <sheetData>
    <row r="1" spans="1:20">
      <c r="A1" t="s">
        <v>13</v>
      </c>
    </row>
    <row r="4" spans="1:20">
      <c r="B4" s="12">
        <v>2000</v>
      </c>
      <c r="C4" s="12">
        <v>2001</v>
      </c>
      <c r="D4" s="12">
        <v>2004</v>
      </c>
      <c r="E4" s="12">
        <v>2005</v>
      </c>
      <c r="F4" s="12">
        <v>2006</v>
      </c>
      <c r="G4" s="12">
        <v>2007</v>
      </c>
      <c r="H4" s="12">
        <v>2008</v>
      </c>
      <c r="S4" s="12">
        <v>2002</v>
      </c>
      <c r="T4">
        <v>2003</v>
      </c>
    </row>
    <row r="5" spans="1:20">
      <c r="A5" t="s">
        <v>32</v>
      </c>
      <c r="B5">
        <f>994-39</f>
        <v>955</v>
      </c>
      <c r="C5">
        <f>957-47</f>
        <v>910</v>
      </c>
      <c r="D5">
        <v>948</v>
      </c>
      <c r="E5">
        <f>848-39</f>
        <v>809</v>
      </c>
      <c r="F5">
        <f>694-35</f>
        <v>659</v>
      </c>
      <c r="G5">
        <f>834-36</f>
        <v>798</v>
      </c>
      <c r="H5">
        <v>575</v>
      </c>
      <c r="S5">
        <v>889</v>
      </c>
      <c r="T5">
        <v>637</v>
      </c>
    </row>
    <row r="6" spans="1:20">
      <c r="A6" t="s">
        <v>33</v>
      </c>
      <c r="B6">
        <f>1143-52</f>
        <v>1091</v>
      </c>
      <c r="C6">
        <f>960-29</f>
        <v>931</v>
      </c>
      <c r="D6">
        <f>952-17</f>
        <v>935</v>
      </c>
      <c r="E6">
        <f>1044-49</f>
        <v>995</v>
      </c>
      <c r="F6">
        <v>624</v>
      </c>
      <c r="G6">
        <f>658-45</f>
        <v>613</v>
      </c>
      <c r="H6">
        <v>719</v>
      </c>
      <c r="S6">
        <v>827</v>
      </c>
      <c r="T6">
        <v>605</v>
      </c>
    </row>
    <row r="7" spans="1:20">
      <c r="A7" t="s">
        <v>34</v>
      </c>
      <c r="B7">
        <f>993-42</f>
        <v>951</v>
      </c>
      <c r="C7">
        <f>1102-61</f>
        <v>1041</v>
      </c>
      <c r="D7">
        <f>860-40</f>
        <v>820</v>
      </c>
      <c r="E7">
        <f>1239-64</f>
        <v>1175</v>
      </c>
      <c r="F7">
        <f>717-30</f>
        <v>687</v>
      </c>
      <c r="G7">
        <f>776-48</f>
        <v>728</v>
      </c>
      <c r="H7">
        <v>695</v>
      </c>
      <c r="S7">
        <f>693-44</f>
        <v>649</v>
      </c>
      <c r="T7">
        <v>588</v>
      </c>
    </row>
    <row r="8" spans="1:20">
      <c r="A8" t="s">
        <v>35</v>
      </c>
      <c r="B8">
        <f>968-56</f>
        <v>912</v>
      </c>
      <c r="C8">
        <v>912</v>
      </c>
      <c r="D8">
        <f>973-25</f>
        <v>948</v>
      </c>
      <c r="E8">
        <f>1020-45</f>
        <v>975</v>
      </c>
      <c r="F8">
        <f>648-39</f>
        <v>609</v>
      </c>
      <c r="G8">
        <v>762</v>
      </c>
      <c r="H8">
        <v>601</v>
      </c>
      <c r="S8">
        <v>682</v>
      </c>
      <c r="T8">
        <f>619-31</f>
        <v>588</v>
      </c>
    </row>
    <row r="9" spans="1:20">
      <c r="A9" t="s">
        <v>5</v>
      </c>
      <c r="B9">
        <f>866-53</f>
        <v>813</v>
      </c>
      <c r="C9">
        <v>844</v>
      </c>
      <c r="D9">
        <v>810</v>
      </c>
      <c r="E9">
        <f>760-45</f>
        <v>715</v>
      </c>
      <c r="F9">
        <v>666</v>
      </c>
      <c r="G9">
        <v>700</v>
      </c>
      <c r="H9">
        <v>568</v>
      </c>
      <c r="S9">
        <v>777</v>
      </c>
      <c r="T9">
        <v>585</v>
      </c>
    </row>
    <row r="10" spans="1:20">
      <c r="A10" t="s">
        <v>141</v>
      </c>
      <c r="B10">
        <f>837-73</f>
        <v>764</v>
      </c>
      <c r="C10">
        <v>834</v>
      </c>
      <c r="D10">
        <f>848-37</f>
        <v>811</v>
      </c>
      <c r="E10">
        <f>909-51</f>
        <v>858</v>
      </c>
      <c r="F10">
        <f>788-45</f>
        <v>743</v>
      </c>
      <c r="G10">
        <v>654</v>
      </c>
      <c r="H10">
        <v>591</v>
      </c>
      <c r="S10">
        <v>611</v>
      </c>
      <c r="T10">
        <v>784</v>
      </c>
    </row>
    <row r="11" spans="1:20">
      <c r="A11" t="s">
        <v>142</v>
      </c>
      <c r="B11">
        <f>767-58</f>
        <v>709</v>
      </c>
      <c r="C11">
        <v>830</v>
      </c>
      <c r="D11">
        <v>655</v>
      </c>
      <c r="E11">
        <f>908-39</f>
        <v>869</v>
      </c>
      <c r="F11">
        <f>726-35</f>
        <v>691</v>
      </c>
      <c r="G11">
        <v>673</v>
      </c>
      <c r="H11">
        <v>404</v>
      </c>
      <c r="S11">
        <v>623</v>
      </c>
      <c r="T11">
        <f>664-17</f>
        <v>647</v>
      </c>
    </row>
    <row r="12" spans="1:20">
      <c r="A12" t="s">
        <v>8</v>
      </c>
      <c r="B12">
        <f>783-58</f>
        <v>725</v>
      </c>
      <c r="C12">
        <v>1000</v>
      </c>
      <c r="D12">
        <f>808-35</f>
        <v>773</v>
      </c>
      <c r="E12">
        <f>807-48</f>
        <v>759</v>
      </c>
      <c r="F12">
        <f>754-59</f>
        <v>695</v>
      </c>
      <c r="G12">
        <v>689</v>
      </c>
      <c r="H12">
        <v>418</v>
      </c>
      <c r="S12">
        <v>707</v>
      </c>
      <c r="T12">
        <v>819</v>
      </c>
    </row>
    <row r="13" spans="1:20">
      <c r="A13" t="s">
        <v>143</v>
      </c>
      <c r="B13">
        <f>837-50</f>
        <v>787</v>
      </c>
      <c r="C13">
        <v>746</v>
      </c>
      <c r="D13">
        <f>804-30</f>
        <v>774</v>
      </c>
      <c r="E13">
        <f>804-63</f>
        <v>741</v>
      </c>
      <c r="F13">
        <f>595-26</f>
        <v>569</v>
      </c>
      <c r="G13">
        <v>665</v>
      </c>
      <c r="H13">
        <v>405</v>
      </c>
      <c r="S13">
        <v>565</v>
      </c>
      <c r="T13">
        <v>799</v>
      </c>
    </row>
    <row r="14" spans="1:20">
      <c r="A14" t="s">
        <v>36</v>
      </c>
      <c r="B14">
        <f>1063-30</f>
        <v>1033</v>
      </c>
      <c r="C14">
        <v>906</v>
      </c>
      <c r="D14">
        <f>895-45</f>
        <v>850</v>
      </c>
      <c r="E14">
        <f>912-57</f>
        <v>855</v>
      </c>
      <c r="F14">
        <f>824-50</f>
        <v>774</v>
      </c>
      <c r="G14">
        <v>616</v>
      </c>
      <c r="H14">
        <v>416</v>
      </c>
      <c r="S14">
        <f>682-38</f>
        <v>644</v>
      </c>
      <c r="T14">
        <v>778</v>
      </c>
    </row>
    <row r="15" spans="1:20">
      <c r="A15" t="s">
        <v>37</v>
      </c>
      <c r="B15">
        <f>988-48</f>
        <v>940</v>
      </c>
      <c r="C15">
        <v>876</v>
      </c>
      <c r="D15">
        <f>862-63</f>
        <v>799</v>
      </c>
      <c r="E15">
        <f>933-38</f>
        <v>895</v>
      </c>
      <c r="F15">
        <f>692-30</f>
        <v>662</v>
      </c>
      <c r="G15">
        <v>643</v>
      </c>
      <c r="H15">
        <v>414</v>
      </c>
      <c r="S15">
        <v>549</v>
      </c>
      <c r="T15">
        <v>923</v>
      </c>
    </row>
    <row r="16" spans="1:20">
      <c r="A16" t="s">
        <v>12</v>
      </c>
      <c r="B16">
        <f>1104-47</f>
        <v>1057</v>
      </c>
      <c r="C16">
        <f>738-33</f>
        <v>705</v>
      </c>
      <c r="D16">
        <f>881-53</f>
        <v>828</v>
      </c>
      <c r="E16">
        <f>750-40</f>
        <v>710</v>
      </c>
      <c r="F16">
        <v>758</v>
      </c>
      <c r="G16">
        <v>680</v>
      </c>
      <c r="H16">
        <v>466</v>
      </c>
      <c r="S16">
        <f>712-33</f>
        <v>679</v>
      </c>
      <c r="T16">
        <v>947</v>
      </c>
    </row>
    <row r="18" spans="2:4">
      <c r="B18">
        <f>SUM(B5:B12)</f>
        <v>6920</v>
      </c>
      <c r="C18">
        <f>SUM(C5:C17)</f>
        <v>10535</v>
      </c>
    </row>
    <row r="19" spans="2:4">
      <c r="C19">
        <f>+C18-B18</f>
        <v>3615</v>
      </c>
    </row>
    <row r="20" spans="2:4">
      <c r="C20" s="2">
        <f>+C19/B18</f>
        <v>0.52239884393063585</v>
      </c>
      <c r="D20" s="2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S136"/>
  <sheetViews>
    <sheetView workbookViewId="0">
      <selection activeCell="H103" sqref="H103"/>
    </sheetView>
  </sheetViews>
  <sheetFormatPr defaultRowHeight="12.75"/>
  <cols>
    <col min="2" max="2" width="13" hidden="1" customWidth="1"/>
    <col min="3" max="3" width="12.85546875" hidden="1" customWidth="1"/>
    <col min="4" max="4" width="13" hidden="1" customWidth="1"/>
    <col min="5" max="7" width="12.85546875" bestFit="1" customWidth="1"/>
    <col min="8" max="8" width="12.85546875" customWidth="1"/>
    <col min="10" max="10" width="10.28515625" bestFit="1" customWidth="1"/>
    <col min="18" max="18" width="10.42578125" customWidth="1"/>
  </cols>
  <sheetData>
    <row r="1" spans="1:19">
      <c r="A1" t="s">
        <v>47</v>
      </c>
    </row>
    <row r="4" spans="1:19">
      <c r="B4" s="12">
        <v>2000</v>
      </c>
      <c r="C4" s="12">
        <v>2001</v>
      </c>
      <c r="D4" s="12">
        <v>2004</v>
      </c>
      <c r="E4" s="12">
        <v>2005</v>
      </c>
      <c r="F4" s="12">
        <v>2006</v>
      </c>
      <c r="G4" s="12">
        <v>2007</v>
      </c>
      <c r="H4" s="12">
        <v>2008</v>
      </c>
      <c r="R4" s="12">
        <v>2002</v>
      </c>
      <c r="S4">
        <v>2003</v>
      </c>
    </row>
    <row r="5" spans="1:19">
      <c r="A5" t="s">
        <v>32</v>
      </c>
      <c r="B5" s="8">
        <f>+B27+B90</f>
        <v>2088.5179442914095</v>
      </c>
      <c r="C5" s="8">
        <f>+C27+C90</f>
        <v>2033.3507285981725</v>
      </c>
      <c r="D5">
        <v>2503</v>
      </c>
      <c r="E5" s="10">
        <f t="shared" ref="E5:F9" si="0">+E27+E90</f>
        <v>2101.4769352447702</v>
      </c>
      <c r="F5" s="10">
        <f t="shared" si="0"/>
        <v>2233.4871816692666</v>
      </c>
      <c r="G5" s="10">
        <f>IF(G27&gt;0,+G27+G90,0)</f>
        <v>2847.6415227470497</v>
      </c>
      <c r="H5" s="10">
        <f>IF(H27&gt;0,+H27+H90,0)</f>
        <v>2079.6410232752569</v>
      </c>
      <c r="R5" s="8">
        <f t="shared" ref="R5:R16" si="1">+R27+R90</f>
        <v>2460.1990044994263</v>
      </c>
      <c r="S5">
        <v>2237.3413577940396</v>
      </c>
    </row>
    <row r="6" spans="1:19">
      <c r="A6" t="s">
        <v>33</v>
      </c>
      <c r="B6" s="8">
        <f t="shared" ref="B6:C16" si="2">+B28+B91</f>
        <v>2249.9460609508342</v>
      </c>
      <c r="C6" s="8">
        <f t="shared" si="2"/>
        <v>1970.9256130679109</v>
      </c>
      <c r="D6" s="1">
        <v>2376.9299999999998</v>
      </c>
      <c r="E6" s="10">
        <f t="shared" si="0"/>
        <v>2429.9715882322039</v>
      </c>
      <c r="F6" s="10">
        <f t="shared" si="0"/>
        <v>2148.4365344069129</v>
      </c>
      <c r="G6" s="10">
        <f t="shared" ref="G6:H16" si="3">IF(G28&gt;0,+G28+G91,0)</f>
        <v>2212.6515540364148</v>
      </c>
      <c r="H6" s="10">
        <f t="shared" si="3"/>
        <v>2021.7838690337949</v>
      </c>
      <c r="R6" s="8">
        <f t="shared" si="1"/>
        <v>2283.8650949879639</v>
      </c>
      <c r="S6">
        <v>1926</v>
      </c>
    </row>
    <row r="7" spans="1:19">
      <c r="A7" t="s">
        <v>34</v>
      </c>
      <c r="B7" s="8">
        <f t="shared" si="2"/>
        <v>2164.0966573388441</v>
      </c>
      <c r="C7" s="8">
        <f t="shared" si="2"/>
        <v>2125.3987281583486</v>
      </c>
      <c r="D7" s="1">
        <v>2274.04</v>
      </c>
      <c r="E7" s="10">
        <f t="shared" si="0"/>
        <v>2511.3162945869281</v>
      </c>
      <c r="F7" s="10">
        <f t="shared" si="0"/>
        <v>2244.9705215305294</v>
      </c>
      <c r="G7" s="10">
        <f t="shared" si="3"/>
        <v>2220.498387749079</v>
      </c>
      <c r="H7" s="10">
        <f t="shared" si="3"/>
        <v>1991.9881048138545</v>
      </c>
      <c r="R7" s="8">
        <f t="shared" si="1"/>
        <v>1994.3200426482672</v>
      </c>
      <c r="S7">
        <v>2021</v>
      </c>
    </row>
    <row r="8" spans="1:19">
      <c r="A8" t="s">
        <v>35</v>
      </c>
      <c r="B8" s="8">
        <f t="shared" si="2"/>
        <v>1974.2412959634628</v>
      </c>
      <c r="C8" s="8">
        <f t="shared" si="2"/>
        <v>2072.4483704954141</v>
      </c>
      <c r="D8" s="1">
        <v>2347</v>
      </c>
      <c r="E8" s="10">
        <f t="shared" si="0"/>
        <v>2429.0291260953936</v>
      </c>
      <c r="F8" s="10">
        <f t="shared" si="0"/>
        <v>2338.2555373217665</v>
      </c>
      <c r="G8" s="10">
        <f t="shared" si="3"/>
        <v>2408.7395075100549</v>
      </c>
      <c r="H8" s="10">
        <f t="shared" si="3"/>
        <v>1656.089182845192</v>
      </c>
      <c r="R8" s="8">
        <f t="shared" si="1"/>
        <v>2118.3159910584336</v>
      </c>
      <c r="S8">
        <v>2045.330937283813</v>
      </c>
    </row>
    <row r="9" spans="1:19">
      <c r="A9" t="s">
        <v>5</v>
      </c>
      <c r="B9" s="8">
        <f t="shared" si="2"/>
        <v>1928.1913207751536</v>
      </c>
      <c r="C9" s="8">
        <f t="shared" si="2"/>
        <v>2128.3461924689018</v>
      </c>
      <c r="D9" s="10">
        <f>+D31+D94</f>
        <v>2156.7938867777993</v>
      </c>
      <c r="E9" s="10">
        <f t="shared" si="0"/>
        <v>2199.6252829949149</v>
      </c>
      <c r="F9" s="10">
        <f t="shared" si="0"/>
        <v>2053.3853042894334</v>
      </c>
      <c r="G9" s="10">
        <f t="shared" si="3"/>
        <v>2134.9218294485349</v>
      </c>
      <c r="H9" s="10">
        <f t="shared" si="3"/>
        <v>2004.8577037855543</v>
      </c>
      <c r="R9" s="8">
        <f t="shared" si="1"/>
        <v>2209.6212151330938</v>
      </c>
      <c r="S9">
        <v>2064.3850553935736</v>
      </c>
    </row>
    <row r="10" spans="1:19">
      <c r="A10" t="s">
        <v>141</v>
      </c>
      <c r="B10" s="8">
        <f t="shared" si="2"/>
        <v>1703.9498335777953</v>
      </c>
      <c r="C10" s="8">
        <f t="shared" si="2"/>
        <v>1971.272977455915</v>
      </c>
      <c r="D10" s="10">
        <f>+D32+D95</f>
        <v>2317.6572762175801</v>
      </c>
      <c r="E10" s="10">
        <f>+E32+E96</f>
        <v>3010.6987497700716</v>
      </c>
      <c r="F10" s="10">
        <f>+F32+F95</f>
        <v>2253.3003124862844</v>
      </c>
      <c r="G10" s="10">
        <f t="shared" si="3"/>
        <v>1947.7149577298833</v>
      </c>
      <c r="H10" s="10">
        <f t="shared" si="3"/>
        <v>1753.5744338131158</v>
      </c>
      <c r="R10" s="8">
        <f t="shared" si="1"/>
        <v>2211.9550236631339</v>
      </c>
      <c r="S10">
        <v>2201.5682073545463</v>
      </c>
    </row>
    <row r="11" spans="1:19">
      <c r="A11" t="s">
        <v>142</v>
      </c>
      <c r="B11" s="8">
        <f t="shared" si="2"/>
        <v>1693.0146991568799</v>
      </c>
      <c r="C11" s="8">
        <f t="shared" si="2"/>
        <v>1948.6529710856425</v>
      </c>
      <c r="D11" s="1">
        <v>2114</v>
      </c>
      <c r="E11" s="10">
        <f t="shared" ref="E11:F16" si="4">+E33+E96</f>
        <v>3021.6987497700716</v>
      </c>
      <c r="F11" s="10">
        <f t="shared" si="4"/>
        <v>2609.9951005418025</v>
      </c>
      <c r="G11" s="10">
        <f t="shared" si="3"/>
        <v>2198.2844095811738</v>
      </c>
      <c r="H11" s="10">
        <f t="shared" si="3"/>
        <v>1523.0601583642379</v>
      </c>
      <c r="R11" s="8">
        <f t="shared" si="1"/>
        <v>2340.5814444882917</v>
      </c>
      <c r="S11">
        <v>2800.5816724828901</v>
      </c>
    </row>
    <row r="12" spans="1:19">
      <c r="A12" t="s">
        <v>8</v>
      </c>
      <c r="B12" s="8">
        <f t="shared" si="2"/>
        <v>1707.814172720136</v>
      </c>
      <c r="C12" s="8">
        <f t="shared" si="2"/>
        <v>2297.6862540983243</v>
      </c>
      <c r="D12" s="10">
        <f>+D34+D97</f>
        <v>2263.2950420744273</v>
      </c>
      <c r="E12" s="10">
        <f t="shared" si="4"/>
        <v>2087.3408319281066</v>
      </c>
      <c r="F12" s="10">
        <f t="shared" si="4"/>
        <v>1928.0036729480935</v>
      </c>
      <c r="G12" s="10">
        <f t="shared" si="3"/>
        <v>2189.6212510566693</v>
      </c>
      <c r="H12" s="10">
        <f t="shared" si="3"/>
        <v>1382.1952944730447</v>
      </c>
      <c r="R12" s="8">
        <f t="shared" si="1"/>
        <v>2633.927787984444</v>
      </c>
      <c r="S12">
        <v>2170.7396686005577</v>
      </c>
    </row>
    <row r="13" spans="1:19">
      <c r="A13" t="s">
        <v>143</v>
      </c>
      <c r="B13" s="8">
        <f t="shared" si="2"/>
        <v>1796.6457398634484</v>
      </c>
      <c r="C13" s="8">
        <f t="shared" si="2"/>
        <v>2044.9125456979357</v>
      </c>
      <c r="D13" s="10">
        <f>+D35+D98</f>
        <v>2301.982825299986</v>
      </c>
      <c r="E13" s="10">
        <f t="shared" si="4"/>
        <v>2052.8802535875348</v>
      </c>
      <c r="F13" s="10">
        <f t="shared" si="4"/>
        <v>2806.2189873311963</v>
      </c>
      <c r="G13" s="10">
        <f t="shared" si="3"/>
        <v>1997.5052047851391</v>
      </c>
      <c r="H13" s="10">
        <f t="shared" si="3"/>
        <v>1108.8549081341241</v>
      </c>
      <c r="R13" s="8">
        <f t="shared" si="1"/>
        <v>2698.6670510497179</v>
      </c>
      <c r="S13">
        <v>2164.8022219247932</v>
      </c>
    </row>
    <row r="14" spans="1:19">
      <c r="A14" t="s">
        <v>36</v>
      </c>
      <c r="B14" s="8">
        <f t="shared" si="2"/>
        <v>2143.8660727368497</v>
      </c>
      <c r="C14" s="8">
        <f t="shared" si="2"/>
        <v>2274.7436889170103</v>
      </c>
      <c r="D14" s="10">
        <f>+D36+D99</f>
        <v>2336.0055176130691</v>
      </c>
      <c r="E14" s="10">
        <f t="shared" si="4"/>
        <v>2324.9739168969268</v>
      </c>
      <c r="F14" s="10">
        <f t="shared" si="4"/>
        <v>2536.3861804040594</v>
      </c>
      <c r="G14" s="10">
        <f t="shared" si="3"/>
        <v>2048.8753740448806</v>
      </c>
      <c r="H14" s="10">
        <f t="shared" si="3"/>
        <v>1388.4502900116004</v>
      </c>
      <c r="R14" s="8">
        <f t="shared" si="1"/>
        <v>2694.299307662407</v>
      </c>
      <c r="S14">
        <v>2325.9461688924234</v>
      </c>
    </row>
    <row r="15" spans="1:19">
      <c r="A15" t="s">
        <v>37</v>
      </c>
      <c r="B15" s="8">
        <f t="shared" si="2"/>
        <v>2003.329393958448</v>
      </c>
      <c r="C15" s="8">
        <f t="shared" si="2"/>
        <v>2260.7070464261565</v>
      </c>
      <c r="D15" s="10">
        <f>+D37+D100</f>
        <v>2101.6361279971225</v>
      </c>
      <c r="E15" s="10">
        <f t="shared" si="4"/>
        <v>2165.705817043262</v>
      </c>
      <c r="F15" s="10">
        <f t="shared" si="4"/>
        <v>2442.853862590443</v>
      </c>
      <c r="G15" s="10">
        <f t="shared" si="3"/>
        <v>1977.2222250155448</v>
      </c>
      <c r="H15" s="10">
        <f t="shared" si="3"/>
        <v>1460.9303047780882</v>
      </c>
      <c r="R15" s="8">
        <f t="shared" si="1"/>
        <v>1838.8103190847344</v>
      </c>
      <c r="S15">
        <v>2614.7077110077803</v>
      </c>
    </row>
    <row r="16" spans="1:19">
      <c r="A16" t="s">
        <v>12</v>
      </c>
      <c r="B16" s="8">
        <f t="shared" si="2"/>
        <v>2157.3292252154515</v>
      </c>
      <c r="C16" s="8">
        <f t="shared" si="2"/>
        <v>1866.3839273087694</v>
      </c>
      <c r="D16" s="10">
        <f>+D38+D101</f>
        <v>2267.7140080886602</v>
      </c>
      <c r="E16" s="10">
        <f t="shared" si="4"/>
        <v>1821.1219875382183</v>
      </c>
      <c r="F16" s="10">
        <v>2619.35</v>
      </c>
      <c r="G16" s="10">
        <f t="shared" si="3"/>
        <v>1869.6371757892498</v>
      </c>
      <c r="H16" s="10">
        <f t="shared" si="3"/>
        <v>1693.086456294883</v>
      </c>
      <c r="R16" s="8">
        <f t="shared" si="1"/>
        <v>2166.7718709424698</v>
      </c>
      <c r="S16">
        <v>2605.7889054382636</v>
      </c>
    </row>
    <row r="17" spans="1:18">
      <c r="E17" s="8">
        <f>SUM(E5:E16)</f>
        <v>28155.83953368841</v>
      </c>
    </row>
    <row r="18" spans="1:18">
      <c r="B18">
        <f>SUM(B5:B12)</f>
        <v>15509.771984774516</v>
      </c>
      <c r="C18">
        <f>SUM(C5:C17)</f>
        <v>24994.8290437785</v>
      </c>
    </row>
    <row r="19" spans="1:18">
      <c r="C19">
        <f>+C18-B18</f>
        <v>9485.0570590039843</v>
      </c>
    </row>
    <row r="20" spans="1:18">
      <c r="C20" s="2">
        <f>+C19/B18</f>
        <v>0.6115536107374876</v>
      </c>
      <c r="R20" s="2"/>
    </row>
    <row r="25" spans="1:18">
      <c r="A25" t="s">
        <v>93</v>
      </c>
    </row>
    <row r="26" spans="1:18">
      <c r="B26" s="12" t="s">
        <v>42</v>
      </c>
      <c r="C26" s="12" t="s">
        <v>17</v>
      </c>
      <c r="D26">
        <v>2003</v>
      </c>
      <c r="R26" s="12" t="s">
        <v>41</v>
      </c>
    </row>
    <row r="27" spans="1:18">
      <c r="A27" t="s">
        <v>1</v>
      </c>
      <c r="B27">
        <f>994-39</f>
        <v>955</v>
      </c>
      <c r="C27">
        <f>957-47</f>
        <v>910</v>
      </c>
      <c r="D27">
        <f>+'Patient Days'!D5</f>
        <v>948</v>
      </c>
      <c r="E27">
        <f>+'Patient Days'!E5</f>
        <v>809</v>
      </c>
      <c r="F27">
        <f>+'Patient Days'!F5</f>
        <v>659</v>
      </c>
      <c r="G27">
        <f>+'Patient Days'!G5</f>
        <v>798</v>
      </c>
      <c r="H27">
        <v>575</v>
      </c>
      <c r="R27">
        <v>889</v>
      </c>
    </row>
    <row r="28" spans="1:18">
      <c r="A28" t="s">
        <v>2</v>
      </c>
      <c r="B28">
        <f>1143-52</f>
        <v>1091</v>
      </c>
      <c r="C28">
        <f>960-29</f>
        <v>931</v>
      </c>
      <c r="D28">
        <f>+'Patient Days'!D6</f>
        <v>935</v>
      </c>
      <c r="E28">
        <f>+'Patient Days'!E6</f>
        <v>995</v>
      </c>
      <c r="F28">
        <f>+'Patient Days'!F6</f>
        <v>624</v>
      </c>
      <c r="G28">
        <f>+'Patient Days'!G6</f>
        <v>613</v>
      </c>
      <c r="H28">
        <v>719</v>
      </c>
      <c r="R28">
        <v>827</v>
      </c>
    </row>
    <row r="29" spans="1:18">
      <c r="A29" t="s">
        <v>3</v>
      </c>
      <c r="B29">
        <f>993-42</f>
        <v>951</v>
      </c>
      <c r="C29">
        <f>1102-61</f>
        <v>1041</v>
      </c>
      <c r="D29">
        <f>+'Patient Days'!D7</f>
        <v>820</v>
      </c>
      <c r="E29">
        <f>+'Patient Days'!E7</f>
        <v>1175</v>
      </c>
      <c r="F29">
        <f>+'Patient Days'!F7</f>
        <v>687</v>
      </c>
      <c r="G29">
        <f>+'Patient Days'!G7</f>
        <v>728</v>
      </c>
      <c r="H29">
        <v>695</v>
      </c>
      <c r="R29">
        <f>693-44</f>
        <v>649</v>
      </c>
    </row>
    <row r="30" spans="1:18">
      <c r="A30" t="s">
        <v>4</v>
      </c>
      <c r="B30">
        <f>968-56</f>
        <v>912</v>
      </c>
      <c r="C30">
        <v>912</v>
      </c>
      <c r="D30">
        <f>+'Patient Days'!D8</f>
        <v>948</v>
      </c>
      <c r="E30">
        <f>+'Patient Days'!E8</f>
        <v>975</v>
      </c>
      <c r="F30">
        <f>+'Patient Days'!F8</f>
        <v>609</v>
      </c>
      <c r="G30">
        <f>+'Patient Days'!G8</f>
        <v>762</v>
      </c>
      <c r="H30">
        <v>601</v>
      </c>
      <c r="R30">
        <v>682</v>
      </c>
    </row>
    <row r="31" spans="1:18">
      <c r="A31" t="s">
        <v>5</v>
      </c>
      <c r="B31">
        <f>866-53</f>
        <v>813</v>
      </c>
      <c r="C31">
        <v>844</v>
      </c>
      <c r="D31">
        <f>+'Patient Days'!D9</f>
        <v>810</v>
      </c>
      <c r="E31">
        <f>+'Patient Days'!E9</f>
        <v>715</v>
      </c>
      <c r="F31">
        <f>+'Patient Days'!F9</f>
        <v>666</v>
      </c>
      <c r="G31">
        <f>+'Patient Days'!G9</f>
        <v>700</v>
      </c>
      <c r="H31">
        <v>568</v>
      </c>
      <c r="R31">
        <v>777</v>
      </c>
    </row>
    <row r="32" spans="1:18">
      <c r="A32" t="s">
        <v>6</v>
      </c>
      <c r="B32">
        <f>837-73</f>
        <v>764</v>
      </c>
      <c r="C32">
        <v>834</v>
      </c>
      <c r="D32">
        <f>+'Patient Days'!D10</f>
        <v>811</v>
      </c>
      <c r="E32">
        <f>+'Patient Days'!E10</f>
        <v>858</v>
      </c>
      <c r="F32">
        <f>+'Patient Days'!F10</f>
        <v>743</v>
      </c>
      <c r="G32">
        <f>+'Patient Days'!G10</f>
        <v>654</v>
      </c>
      <c r="H32">
        <v>591</v>
      </c>
      <c r="R32">
        <v>611</v>
      </c>
    </row>
    <row r="33" spans="1:18">
      <c r="A33" t="s">
        <v>7</v>
      </c>
      <c r="B33">
        <f>767-58</f>
        <v>709</v>
      </c>
      <c r="C33">
        <v>830</v>
      </c>
      <c r="D33">
        <f>+'Patient Days'!D11</f>
        <v>655</v>
      </c>
      <c r="E33">
        <f>+'Patient Days'!E11</f>
        <v>869</v>
      </c>
      <c r="F33">
        <f>+'Patient Days'!F11</f>
        <v>691</v>
      </c>
      <c r="G33">
        <f>+'Patient Days'!G11</f>
        <v>673</v>
      </c>
      <c r="H33">
        <v>404</v>
      </c>
      <c r="R33">
        <f>+'Patient Days'!$D$11</f>
        <v>655</v>
      </c>
    </row>
    <row r="34" spans="1:18">
      <c r="A34" t="s">
        <v>8</v>
      </c>
      <c r="B34">
        <f>783-58</f>
        <v>725</v>
      </c>
      <c r="C34">
        <v>1000</v>
      </c>
      <c r="D34">
        <f>+'Patient Days'!D12</f>
        <v>773</v>
      </c>
      <c r="E34">
        <f>+'Patient Days'!E12</f>
        <v>759</v>
      </c>
      <c r="F34">
        <f>+'Patient Days'!F12</f>
        <v>695</v>
      </c>
      <c r="G34">
        <f>+'Patient Days'!G12</f>
        <v>689</v>
      </c>
      <c r="H34">
        <v>418</v>
      </c>
      <c r="R34">
        <f>+'Patient Days'!$D$12</f>
        <v>773</v>
      </c>
    </row>
    <row r="35" spans="1:18">
      <c r="A35" t="s">
        <v>9</v>
      </c>
      <c r="B35">
        <f>837-50</f>
        <v>787</v>
      </c>
      <c r="C35">
        <v>746</v>
      </c>
      <c r="D35">
        <f>+'Patient Days'!D13</f>
        <v>774</v>
      </c>
      <c r="E35">
        <f>+'Patient Days'!E13</f>
        <v>741</v>
      </c>
      <c r="F35">
        <f>+'Patient Days'!F13</f>
        <v>569</v>
      </c>
      <c r="G35">
        <f>+'Patient Days'!G13</f>
        <v>665</v>
      </c>
      <c r="H35">
        <v>405</v>
      </c>
      <c r="R35">
        <f>+'Patient Days'!$D$13</f>
        <v>774</v>
      </c>
    </row>
    <row r="36" spans="1:18">
      <c r="A36" t="s">
        <v>10</v>
      </c>
      <c r="B36">
        <f>1063-30</f>
        <v>1033</v>
      </c>
      <c r="C36">
        <v>906</v>
      </c>
      <c r="D36">
        <f>+'Patient Days'!D14</f>
        <v>850</v>
      </c>
      <c r="E36">
        <f>+'Patient Days'!E14</f>
        <v>855</v>
      </c>
      <c r="F36">
        <f>+'Patient Days'!F14</f>
        <v>774</v>
      </c>
      <c r="G36">
        <f>+'Patient Days'!G14</f>
        <v>616</v>
      </c>
      <c r="H36">
        <v>416</v>
      </c>
      <c r="R36">
        <f>+'Patient Days'!$D$14</f>
        <v>850</v>
      </c>
    </row>
    <row r="37" spans="1:18">
      <c r="A37" t="s">
        <v>11</v>
      </c>
      <c r="B37">
        <f>988-48</f>
        <v>940</v>
      </c>
      <c r="C37">
        <v>876</v>
      </c>
      <c r="D37">
        <f>+'Patient Days'!D15</f>
        <v>799</v>
      </c>
      <c r="E37">
        <f>+'Patient Days'!E15</f>
        <v>895</v>
      </c>
      <c r="F37">
        <f>+'Patient Days'!F15</f>
        <v>662</v>
      </c>
      <c r="G37">
        <f>+'Patient Days'!G15</f>
        <v>643</v>
      </c>
      <c r="H37">
        <v>414</v>
      </c>
      <c r="R37">
        <v>549</v>
      </c>
    </row>
    <row r="38" spans="1:18">
      <c r="A38" t="s">
        <v>12</v>
      </c>
      <c r="B38">
        <f>1104-47</f>
        <v>1057</v>
      </c>
      <c r="C38">
        <f>738-33</f>
        <v>705</v>
      </c>
      <c r="D38">
        <f>+'Patient Days'!D16</f>
        <v>828</v>
      </c>
      <c r="E38">
        <f>+'Patient Days'!E16</f>
        <v>710</v>
      </c>
      <c r="F38">
        <f>+'Patient Days'!F16</f>
        <v>758</v>
      </c>
      <c r="G38">
        <f>+'Patient Days'!G16</f>
        <v>680</v>
      </c>
      <c r="H38">
        <v>466</v>
      </c>
      <c r="R38">
        <f>712-33</f>
        <v>679</v>
      </c>
    </row>
    <row r="41" spans="1:18">
      <c r="B41">
        <v>2000</v>
      </c>
      <c r="C41">
        <v>2001</v>
      </c>
      <c r="D41">
        <v>2004</v>
      </c>
      <c r="E41">
        <v>2005</v>
      </c>
      <c r="F41">
        <v>2006</v>
      </c>
      <c r="G41">
        <v>2007</v>
      </c>
      <c r="H41">
        <v>2008</v>
      </c>
      <c r="R41">
        <v>2002</v>
      </c>
    </row>
    <row r="42" spans="1:18">
      <c r="A42" t="s">
        <v>43</v>
      </c>
    </row>
    <row r="43" spans="1:18">
      <c r="A43" t="s">
        <v>1</v>
      </c>
      <c r="B43" s="8">
        <f>631648+1306545</f>
        <v>1938193</v>
      </c>
      <c r="C43" s="8">
        <f>620222+1396802</f>
        <v>2017024</v>
      </c>
      <c r="D43" s="8">
        <f>650697+1340320+69317</f>
        <v>2060334</v>
      </c>
      <c r="E43" s="8">
        <f>527108+1308974+45295</f>
        <v>1881377</v>
      </c>
      <c r="F43" s="8">
        <f>543683+1268239+32936</f>
        <v>1844858</v>
      </c>
      <c r="G43" s="8">
        <f>543000+1144504+50040</f>
        <v>1737544</v>
      </c>
      <c r="H43" s="8">
        <v>1593237</v>
      </c>
      <c r="R43" s="8">
        <f>587241+1410347</f>
        <v>1997588</v>
      </c>
    </row>
    <row r="44" spans="1:18">
      <c r="A44" t="s">
        <v>2</v>
      </c>
      <c r="B44" s="8">
        <f>755123+1306834</f>
        <v>2061957</v>
      </c>
      <c r="C44" s="8">
        <f>632196+1403753</f>
        <v>2035949</v>
      </c>
      <c r="D44" s="8">
        <f>641669+1193636+62785</f>
        <v>1898090</v>
      </c>
      <c r="E44" s="8">
        <f>701561+1648120+48797</f>
        <v>2398478</v>
      </c>
      <c r="F44" s="8">
        <f>513193+1072417+33149</f>
        <v>1618759</v>
      </c>
      <c r="G44" s="8">
        <f>411211+958586+32165</f>
        <v>1401962</v>
      </c>
      <c r="H44" s="8">
        <v>2221764</v>
      </c>
      <c r="R44" s="8">
        <f>550403+1272828</f>
        <v>1823231</v>
      </c>
    </row>
    <row r="45" spans="1:18">
      <c r="A45" t="s">
        <v>3</v>
      </c>
      <c r="B45" s="8">
        <f>646090+1268612</f>
        <v>1914702</v>
      </c>
      <c r="C45" s="8">
        <f>732640+1629132</f>
        <v>2361772</v>
      </c>
      <c r="D45" s="8">
        <f>594874+1221474+78242</f>
        <v>1894590</v>
      </c>
      <c r="E45" s="8">
        <f>819549+2351795+61386</f>
        <v>3232730</v>
      </c>
      <c r="F45" s="8">
        <f>537039+1415497+32947</f>
        <v>1985483</v>
      </c>
      <c r="G45" s="8">
        <v>1921227</v>
      </c>
      <c r="H45" s="8">
        <v>1979204</v>
      </c>
      <c r="R45" s="8">
        <f>404789+1067721</f>
        <v>1472510</v>
      </c>
    </row>
    <row r="46" spans="1:18">
      <c r="A46" t="s">
        <v>4</v>
      </c>
      <c r="B46" s="8">
        <f>691881+1195950</f>
        <v>1887831</v>
      </c>
      <c r="C46" s="8">
        <f>627115+1417801</f>
        <v>2044916</v>
      </c>
      <c r="D46" s="8">
        <f>563109+1200237+75608</f>
        <v>1838954</v>
      </c>
      <c r="E46" s="8">
        <f>712109+1716180+35893</f>
        <v>2464182</v>
      </c>
      <c r="F46" s="8">
        <f>472560+963693+32327</f>
        <v>1468580</v>
      </c>
      <c r="G46" s="8">
        <f>525757+1454588</f>
        <v>1980345</v>
      </c>
      <c r="H46" s="8">
        <v>2180823</v>
      </c>
      <c r="R46" s="8">
        <f>480971+1098618</f>
        <v>1579589</v>
      </c>
    </row>
    <row r="47" spans="1:18">
      <c r="A47" t="s">
        <v>5</v>
      </c>
      <c r="B47" s="8">
        <f>599321+1136387</f>
        <v>1735708</v>
      </c>
      <c r="C47" s="8">
        <f>583499+1191063</f>
        <v>1774562</v>
      </c>
      <c r="D47" s="8">
        <f>577118+1299430+70314</f>
        <v>1946862</v>
      </c>
      <c r="E47" s="8">
        <f>542813+1275749+24669</f>
        <v>1843231</v>
      </c>
      <c r="F47" s="8">
        <f>514036+1296508+34525</f>
        <v>1845069</v>
      </c>
      <c r="G47" s="8">
        <v>2064972</v>
      </c>
      <c r="H47" s="8">
        <v>1524004</v>
      </c>
      <c r="R47" s="8">
        <f>550841+1300413</f>
        <v>1851254</v>
      </c>
    </row>
    <row r="48" spans="1:18">
      <c r="A48" t="s">
        <v>6</v>
      </c>
      <c r="B48" s="8">
        <f>575720+1125976</f>
        <v>1701696</v>
      </c>
      <c r="C48" s="8">
        <f>593876+1224428</f>
        <v>1818304</v>
      </c>
      <c r="D48" s="8">
        <f>587446+1150031+73512</f>
        <v>1810989</v>
      </c>
      <c r="E48" s="8">
        <f>621157+1878602+119091</f>
        <v>2618850</v>
      </c>
      <c r="F48" s="8">
        <f>587994+1220319+37208</f>
        <v>1845521</v>
      </c>
      <c r="G48" s="8">
        <v>2213384</v>
      </c>
      <c r="H48" s="8">
        <v>1979161</v>
      </c>
      <c r="R48" s="8">
        <f>421609+890770</f>
        <v>1312379</v>
      </c>
    </row>
    <row r="49" spans="1:18">
      <c r="A49" t="s">
        <v>7</v>
      </c>
      <c r="B49" s="8">
        <f>522804+1073410</f>
        <v>1596214</v>
      </c>
      <c r="C49" s="8">
        <f>585842+1286100</f>
        <v>1871942</v>
      </c>
      <c r="D49" s="8">
        <f>445829+992113+67734</f>
        <v>1505676</v>
      </c>
      <c r="E49" s="8">
        <f>672096+1836510+73719</f>
        <v>2582325</v>
      </c>
      <c r="F49" s="8">
        <f>480027+1106278+31629</f>
        <v>1617934</v>
      </c>
      <c r="G49" s="8">
        <v>1784750</v>
      </c>
      <c r="H49" s="8">
        <v>1446665</v>
      </c>
      <c r="R49" s="8">
        <f>466340+856426</f>
        <v>1322766</v>
      </c>
    </row>
    <row r="50" spans="1:18">
      <c r="A50" t="s">
        <v>8</v>
      </c>
      <c r="B50" s="8">
        <f>527233+1084102</f>
        <v>1611335</v>
      </c>
      <c r="C50" s="8">
        <f>721461+1526409</f>
        <v>2247870</v>
      </c>
      <c r="D50" s="8">
        <f>545839+1303577+58156</f>
        <v>1907572</v>
      </c>
      <c r="E50" s="8">
        <f>570195+1528779+67343</f>
        <v>2166317</v>
      </c>
      <c r="F50" s="8">
        <f>482090+1549748+49324</f>
        <v>2081162</v>
      </c>
      <c r="G50" s="8">
        <v>2015768</v>
      </c>
      <c r="H50" s="8">
        <v>1675009</v>
      </c>
      <c r="R50" s="8">
        <f>518750+972650</f>
        <v>1491400</v>
      </c>
    </row>
    <row r="51" spans="1:18">
      <c r="A51" t="s">
        <v>9</v>
      </c>
      <c r="B51" s="8">
        <f>530576+1096062</f>
        <v>1626638</v>
      </c>
      <c r="C51" s="8">
        <f>584032+948860</f>
        <v>1532892</v>
      </c>
      <c r="D51" s="8">
        <f>562103+1009884+29089</f>
        <v>1601076</v>
      </c>
      <c r="E51" s="8">
        <f>556341+1760682+71107</f>
        <v>2388130</v>
      </c>
      <c r="F51" s="8">
        <f>376465+675385+25363</f>
        <v>1077213</v>
      </c>
      <c r="G51" s="8">
        <v>1991917</v>
      </c>
      <c r="H51" s="8">
        <v>2091854</v>
      </c>
      <c r="R51" s="8">
        <f>400728+933011</f>
        <v>1333739</v>
      </c>
    </row>
    <row r="52" spans="1:18">
      <c r="A52" t="s">
        <v>10</v>
      </c>
      <c r="B52" s="8">
        <f>666995+1455478</f>
        <v>2122473</v>
      </c>
      <c r="C52" s="8">
        <f>654396+1237395</f>
        <v>1891791</v>
      </c>
      <c r="D52" s="8">
        <f>596979+1165908+48041</f>
        <v>1810928</v>
      </c>
      <c r="E52" s="8">
        <f>658257+1535700+60376</f>
        <v>2254333</v>
      </c>
      <c r="F52" s="8">
        <f>535622+1268502+51444</f>
        <v>1855568</v>
      </c>
      <c r="G52" s="8">
        <v>1724392</v>
      </c>
      <c r="H52" s="8">
        <v>1624935</v>
      </c>
      <c r="R52" s="8">
        <f>441879+1194317</f>
        <v>1636196</v>
      </c>
    </row>
    <row r="53" spans="1:18">
      <c r="A53" t="s">
        <v>11</v>
      </c>
      <c r="B53" s="8">
        <f>609510+1410269</f>
        <v>2019779</v>
      </c>
      <c r="C53" s="8">
        <f>704665+1049217</f>
        <v>1753882</v>
      </c>
      <c r="D53" s="8">
        <f>557490+1205307+60869</f>
        <v>1823666</v>
      </c>
      <c r="E53" s="8">
        <f>709760+2076166+67448</f>
        <v>2853374</v>
      </c>
      <c r="F53" s="8">
        <f>462871+1064316+43417</f>
        <v>1570604</v>
      </c>
      <c r="G53" s="8">
        <v>1789983</v>
      </c>
      <c r="H53" s="8">
        <v>1385303</v>
      </c>
      <c r="R53" s="8">
        <f>390323+1014821</f>
        <v>1405144</v>
      </c>
    </row>
    <row r="54" spans="1:18">
      <c r="A54" t="s">
        <v>12</v>
      </c>
      <c r="B54" s="8">
        <f>678730+1459800</f>
        <v>2138530</v>
      </c>
      <c r="C54" s="8">
        <f>511875+1114511</f>
        <v>1626386</v>
      </c>
      <c r="D54" s="8">
        <f>558914+1142459+50215</f>
        <v>1751588</v>
      </c>
      <c r="E54" s="8">
        <f>577818+1835154+44943</f>
        <v>2457915</v>
      </c>
      <c r="F54" s="8">
        <f>515341+1187790+43947</f>
        <v>1747078</v>
      </c>
      <c r="G54" s="8">
        <v>1946342</v>
      </c>
      <c r="H54" s="8">
        <v>1570331</v>
      </c>
      <c r="R54" s="8">
        <f>504936+996131</f>
        <v>1501067</v>
      </c>
    </row>
    <row r="55" spans="1:18">
      <c r="D55" s="8"/>
      <c r="E55" s="8"/>
      <c r="F55" s="8"/>
      <c r="G55" s="8"/>
      <c r="H55" s="8"/>
      <c r="R55" s="8"/>
    </row>
    <row r="56" spans="1:18">
      <c r="D56" s="8"/>
      <c r="E56" s="8"/>
      <c r="F56" s="8"/>
      <c r="G56" s="8"/>
      <c r="H56" s="8"/>
      <c r="R56" s="8"/>
    </row>
    <row r="57" spans="1:18">
      <c r="B57">
        <v>2000</v>
      </c>
      <c r="C57">
        <v>2001</v>
      </c>
      <c r="D57">
        <v>2004</v>
      </c>
      <c r="E57">
        <v>2005</v>
      </c>
      <c r="F57">
        <v>2006</v>
      </c>
      <c r="G57">
        <v>2007</v>
      </c>
      <c r="R57" s="8">
        <v>2002</v>
      </c>
    </row>
    <row r="58" spans="1:18">
      <c r="A58" t="s">
        <v>44</v>
      </c>
      <c r="D58" s="8"/>
      <c r="E58" s="8"/>
      <c r="F58" s="8"/>
      <c r="G58" s="8"/>
      <c r="H58" s="8"/>
      <c r="R58" s="8"/>
    </row>
    <row r="59" spans="1:18">
      <c r="A59" t="s">
        <v>1</v>
      </c>
      <c r="B59">
        <v>2300499</v>
      </c>
      <c r="C59">
        <v>2489918</v>
      </c>
      <c r="D59" s="8">
        <f>3222878+157372</f>
        <v>3380250</v>
      </c>
      <c r="E59" s="8">
        <f>2931646+74085</f>
        <v>3005731</v>
      </c>
      <c r="F59" s="8">
        <f>4287573+120174</f>
        <v>4407747</v>
      </c>
      <c r="G59" s="8">
        <f>4276399+186436</f>
        <v>4462835</v>
      </c>
      <c r="H59" s="8">
        <v>4169130</v>
      </c>
      <c r="R59" s="8">
        <v>3530493</v>
      </c>
    </row>
    <row r="60" spans="1:18">
      <c r="A60" t="s">
        <v>2</v>
      </c>
      <c r="B60">
        <v>2190373</v>
      </c>
      <c r="C60">
        <v>2274152</v>
      </c>
      <c r="D60" s="8">
        <f>2920463+112184</f>
        <v>3032647</v>
      </c>
      <c r="E60" s="8">
        <f>3360239+98804</f>
        <v>3459043</v>
      </c>
      <c r="F60" s="8">
        <f>3810727+143913</f>
        <v>3954640</v>
      </c>
      <c r="G60" s="8">
        <f>3512032+146452</f>
        <v>3658484</v>
      </c>
      <c r="H60" s="8">
        <v>4025700</v>
      </c>
      <c r="R60" s="8">
        <v>3211852</v>
      </c>
    </row>
    <row r="61" spans="1:18">
      <c r="A61" t="s">
        <v>3</v>
      </c>
      <c r="B61">
        <v>2442396</v>
      </c>
      <c r="C61">
        <v>2460233</v>
      </c>
      <c r="D61" s="8">
        <f>3181354+178165</f>
        <v>3359519</v>
      </c>
      <c r="E61" s="8">
        <f>3562410+114143</f>
        <v>3676553</v>
      </c>
      <c r="F61" s="8">
        <f>4358395+144260</f>
        <v>4502655</v>
      </c>
      <c r="G61" s="8">
        <v>3938775</v>
      </c>
      <c r="H61" s="8">
        <v>3693531</v>
      </c>
      <c r="R61" s="8">
        <v>3052384</v>
      </c>
    </row>
    <row r="62" spans="1:18">
      <c r="A62" t="s">
        <v>4</v>
      </c>
      <c r="B62">
        <v>2198829</v>
      </c>
      <c r="C62">
        <v>2601995</v>
      </c>
      <c r="D62" s="8">
        <f>3429519+174841</f>
        <v>3604360</v>
      </c>
      <c r="E62" s="8">
        <f>3570463+104401</f>
        <v>3674864</v>
      </c>
      <c r="F62" s="8">
        <f>4045024+125009</f>
        <v>4170033</v>
      </c>
      <c r="G62" s="8">
        <f>3860236+172776+246663</f>
        <v>4279675</v>
      </c>
      <c r="H62" s="8">
        <v>3828557</v>
      </c>
      <c r="R62" s="8">
        <v>3326670</v>
      </c>
    </row>
    <row r="63" spans="1:18">
      <c r="A63" t="s">
        <v>5</v>
      </c>
      <c r="B63">
        <v>2380869</v>
      </c>
      <c r="C63">
        <v>2700417</v>
      </c>
      <c r="D63" s="8">
        <f>3088880+148184</f>
        <v>3237064</v>
      </c>
      <c r="E63" s="8">
        <f>3723536+103747</f>
        <v>3827283</v>
      </c>
      <c r="F63" s="8">
        <f>3703690+139886</f>
        <v>3843576</v>
      </c>
      <c r="G63" s="8">
        <v>4232962</v>
      </c>
      <c r="H63" s="8">
        <v>3855241</v>
      </c>
      <c r="R63" s="8">
        <v>3413315</v>
      </c>
    </row>
    <row r="64" spans="1:18">
      <c r="A64" t="s">
        <v>6</v>
      </c>
      <c r="B64">
        <v>2093598</v>
      </c>
      <c r="C64">
        <v>2479506</v>
      </c>
      <c r="D64" s="8">
        <f>3197827+166587</f>
        <v>3364414</v>
      </c>
      <c r="E64" s="8">
        <f>3618025+160096</f>
        <v>3778121</v>
      </c>
      <c r="F64" s="8">
        <f>3622595+128806</f>
        <v>3751401</v>
      </c>
      <c r="G64" s="8">
        <v>4378422</v>
      </c>
      <c r="H64" s="8">
        <v>3893269</v>
      </c>
      <c r="R64" s="8">
        <v>3438723</v>
      </c>
    </row>
    <row r="65" spans="1:18">
      <c r="A65" t="s">
        <v>7</v>
      </c>
      <c r="B65">
        <v>2215371</v>
      </c>
      <c r="C65">
        <v>2522956</v>
      </c>
      <c r="D65" s="8">
        <f>3204384+135099</f>
        <v>3339483</v>
      </c>
      <c r="E65" s="8">
        <f>+E48+E64</f>
        <v>6396971</v>
      </c>
      <c r="F65" s="8">
        <f>3919449+136388</f>
        <v>4055837</v>
      </c>
      <c r="G65" s="8">
        <v>4044950</v>
      </c>
      <c r="H65" s="8">
        <v>4007191</v>
      </c>
      <c r="R65" s="8">
        <v>3404015</v>
      </c>
    </row>
    <row r="66" spans="1:18">
      <c r="A66" t="s">
        <v>8</v>
      </c>
      <c r="B66">
        <v>2184335</v>
      </c>
      <c r="C66">
        <v>2917030</v>
      </c>
      <c r="D66" s="8">
        <f>3513147+164531</f>
        <v>3677678</v>
      </c>
      <c r="E66" s="8">
        <f>3669140+122174</f>
        <v>3791314</v>
      </c>
      <c r="F66" s="8">
        <f>4334731+158478</f>
        <v>4493209</v>
      </c>
      <c r="G66" s="8">
        <v>4390282</v>
      </c>
      <c r="H66" s="8">
        <v>3863722</v>
      </c>
      <c r="R66" s="8">
        <v>3590411</v>
      </c>
    </row>
    <row r="67" spans="1:18">
      <c r="A67" t="s">
        <v>9</v>
      </c>
      <c r="B67">
        <v>2086821</v>
      </c>
      <c r="C67">
        <v>2669025</v>
      </c>
      <c r="D67" s="8">
        <f>3062801+97944</f>
        <v>3160745</v>
      </c>
      <c r="E67" s="8">
        <f>4069356+158634</f>
        <v>4227990</v>
      </c>
      <c r="F67" s="8">
        <f>3548584+143618</f>
        <v>3692202</v>
      </c>
      <c r="G67" s="8">
        <v>3991338</v>
      </c>
      <c r="H67" s="8">
        <v>3635461</v>
      </c>
      <c r="R67" s="8">
        <v>3316542</v>
      </c>
    </row>
    <row r="68" spans="1:18">
      <c r="A68" t="s">
        <v>10</v>
      </c>
      <c r="B68">
        <v>2282462</v>
      </c>
      <c r="C68">
        <v>2858032</v>
      </c>
      <c r="D68" s="8">
        <f>3064191+101749</f>
        <v>3165940</v>
      </c>
      <c r="E68" s="8">
        <f>3739347+136455</f>
        <v>3875802</v>
      </c>
      <c r="F68" s="8">
        <f>4083439+151994</f>
        <v>4235433</v>
      </c>
      <c r="G68" s="8">
        <v>4011102</v>
      </c>
      <c r="H68" s="8">
        <v>3798482</v>
      </c>
      <c r="J68" s="10"/>
      <c r="R68" s="8">
        <v>3550159</v>
      </c>
    </row>
    <row r="69" spans="1:18">
      <c r="A69" t="s">
        <v>11</v>
      </c>
      <c r="B69">
        <v>2284777</v>
      </c>
      <c r="C69">
        <v>2772389</v>
      </c>
      <c r="D69" s="8">
        <f>2869710+103473</f>
        <v>2973183</v>
      </c>
      <c r="E69" s="8">
        <f>3928157+123015</f>
        <v>4051172</v>
      </c>
      <c r="F69" s="8">
        <f>3878806+346294</f>
        <v>4225100</v>
      </c>
      <c r="G69" s="8">
        <v>3714207</v>
      </c>
      <c r="H69" s="8">
        <v>3503178</v>
      </c>
      <c r="R69" s="8">
        <v>3301219</v>
      </c>
    </row>
    <row r="70" spans="1:18">
      <c r="A70" t="s">
        <v>12</v>
      </c>
      <c r="B70">
        <v>2226194</v>
      </c>
      <c r="C70">
        <v>2679232</v>
      </c>
      <c r="D70" s="8">
        <f>2948582+97053</f>
        <v>3045635</v>
      </c>
      <c r="E70" s="8">
        <f>3726930+119610</f>
        <v>3846540</v>
      </c>
      <c r="F70" s="8">
        <f>4136036+154109</f>
        <v>4290145</v>
      </c>
      <c r="G70" s="8">
        <v>3405060</v>
      </c>
      <c r="H70" s="8">
        <v>4135047</v>
      </c>
      <c r="R70" s="8">
        <v>3289021</v>
      </c>
    </row>
    <row r="71" spans="1:18">
      <c r="D71" s="8"/>
      <c r="E71" s="8"/>
      <c r="F71" s="8"/>
      <c r="G71" s="8"/>
      <c r="H71" s="8"/>
      <c r="R71" s="8"/>
    </row>
    <row r="72" spans="1:18">
      <c r="B72">
        <v>2000</v>
      </c>
      <c r="C72">
        <v>2001</v>
      </c>
      <c r="D72">
        <v>2004</v>
      </c>
      <c r="E72">
        <v>2005</v>
      </c>
      <c r="F72">
        <v>2006</v>
      </c>
      <c r="G72">
        <v>2007</v>
      </c>
      <c r="H72">
        <v>2008</v>
      </c>
      <c r="R72" s="8">
        <v>2002</v>
      </c>
    </row>
    <row r="73" spans="1:18">
      <c r="A73" t="s">
        <v>45</v>
      </c>
      <c r="D73" s="8"/>
      <c r="E73" s="8"/>
      <c r="F73" s="8"/>
      <c r="G73" s="8"/>
      <c r="H73" s="8"/>
      <c r="R73" s="8"/>
    </row>
    <row r="74" spans="1:18">
      <c r="A74" t="s">
        <v>1</v>
      </c>
      <c r="B74" s="14">
        <f>+B43/B27</f>
        <v>2029.5214659685864</v>
      </c>
      <c r="C74" s="14">
        <f>+C43/C27</f>
        <v>2216.50989010989</v>
      </c>
      <c r="D74" s="8">
        <f>+D43/D27</f>
        <v>2173.3481012658226</v>
      </c>
      <c r="E74" s="8">
        <f>+E43/E27</f>
        <v>2325.5587144622991</v>
      </c>
      <c r="F74" s="8">
        <f t="shared" ref="F74:F85" si="5">+F43/F27</f>
        <v>2799.4810318664645</v>
      </c>
      <c r="G74" s="8">
        <f>IF(G43&gt;0,+G43/G27,0)</f>
        <v>2177.3734335839599</v>
      </c>
      <c r="H74" s="8">
        <f>IF(H43&gt;0,+H43/H27,0)</f>
        <v>2770.8469565217392</v>
      </c>
      <c r="R74" s="8">
        <f>+R43/R27</f>
        <v>2247.0056242969631</v>
      </c>
    </row>
    <row r="75" spans="1:18">
      <c r="A75" t="s">
        <v>2</v>
      </c>
      <c r="B75" s="14">
        <f t="shared" ref="B75:E85" si="6">+B44/B28</f>
        <v>1889.9697525206234</v>
      </c>
      <c r="C75" s="14">
        <f t="shared" si="6"/>
        <v>2186.8410311493017</v>
      </c>
      <c r="D75" s="8">
        <f t="shared" si="6"/>
        <v>2030.0427807486631</v>
      </c>
      <c r="E75" s="8">
        <f>+E44/E28</f>
        <v>2410.5306532663317</v>
      </c>
      <c r="F75" s="8">
        <f t="shared" si="5"/>
        <v>2594.165064102564</v>
      </c>
      <c r="G75" s="8">
        <f>IF(G44&gt;0,+G44/G28,0)</f>
        <v>2287.0505709624795</v>
      </c>
      <c r="H75" s="8">
        <f>IF(H44&gt;0,+H44/H28,0)</f>
        <v>3090.0751043115438</v>
      </c>
      <c r="R75" s="8">
        <f t="shared" ref="R75:R85" si="7">+R44/R28</f>
        <v>2204.632406287787</v>
      </c>
    </row>
    <row r="76" spans="1:18">
      <c r="A76" t="s">
        <v>3</v>
      </c>
      <c r="B76" s="14">
        <f t="shared" si="6"/>
        <v>2013.3564668769716</v>
      </c>
      <c r="C76" s="14">
        <f t="shared" si="6"/>
        <v>2268.7531219980788</v>
      </c>
      <c r="D76" s="8">
        <f t="shared" si="6"/>
        <v>2310.4756097560976</v>
      </c>
      <c r="E76" s="8">
        <f>+E45/E29</f>
        <v>2751.2595744680852</v>
      </c>
      <c r="F76" s="8">
        <f t="shared" si="5"/>
        <v>2890.0771470160116</v>
      </c>
      <c r="G76" s="8">
        <f t="shared" ref="G76:G85" si="8">IF(G45&gt;0,+G45/G29,0)</f>
        <v>2639.0480769230771</v>
      </c>
      <c r="H76" s="8">
        <f t="shared" ref="H76:H85" si="9">IF(H45&gt;0,+H45/H29,0)</f>
        <v>2847.7755395683453</v>
      </c>
      <c r="R76" s="8">
        <f t="shared" si="7"/>
        <v>2268.8906009244993</v>
      </c>
    </row>
    <row r="77" spans="1:18">
      <c r="A77" t="s">
        <v>4</v>
      </c>
      <c r="B77" s="14">
        <f t="shared" si="6"/>
        <v>2069.9901315789475</v>
      </c>
      <c r="C77" s="14">
        <f t="shared" si="6"/>
        <v>2242.2324561403507</v>
      </c>
      <c r="D77" s="8">
        <f t="shared" si="6"/>
        <v>1939.8248945147679</v>
      </c>
      <c r="E77" s="8">
        <f>+E46/E30</f>
        <v>2527.3661538461538</v>
      </c>
      <c r="F77" s="8">
        <f t="shared" si="5"/>
        <v>2411.4614121510672</v>
      </c>
      <c r="G77" s="8">
        <f t="shared" si="8"/>
        <v>2598.8779527559054</v>
      </c>
      <c r="H77" s="8">
        <f t="shared" si="9"/>
        <v>3628.6572379367722</v>
      </c>
      <c r="R77" s="8">
        <f t="shared" si="7"/>
        <v>2316.1129032258063</v>
      </c>
    </row>
    <row r="78" spans="1:18">
      <c r="A78" t="s">
        <v>5</v>
      </c>
      <c r="B78" s="14">
        <f t="shared" si="6"/>
        <v>2134.942189421894</v>
      </c>
      <c r="C78" s="14">
        <f t="shared" si="6"/>
        <v>2102.5616113744077</v>
      </c>
      <c r="D78" s="8">
        <f t="shared" si="6"/>
        <v>2403.5333333333333</v>
      </c>
      <c r="E78" s="8">
        <f>+E47/E31</f>
        <v>2577.9454545454546</v>
      </c>
      <c r="F78" s="8">
        <f t="shared" si="5"/>
        <v>2770.3738738738739</v>
      </c>
      <c r="G78" s="8">
        <f t="shared" si="8"/>
        <v>2949.96</v>
      </c>
      <c r="H78" s="8">
        <f t="shared" si="9"/>
        <v>2683.105633802817</v>
      </c>
      <c r="R78" s="8">
        <f t="shared" si="7"/>
        <v>2382.5662805662805</v>
      </c>
    </row>
    <row r="79" spans="1:18">
      <c r="A79" t="s">
        <v>6</v>
      </c>
      <c r="B79" s="14">
        <f t="shared" si="6"/>
        <v>2227.3507853403144</v>
      </c>
      <c r="C79" s="14">
        <f t="shared" si="6"/>
        <v>2180.220623501199</v>
      </c>
      <c r="D79" s="8">
        <f t="shared" si="6"/>
        <v>2233.0320591861901</v>
      </c>
      <c r="E79" s="8">
        <f>+E48/E32</f>
        <v>3052.2727272727275</v>
      </c>
      <c r="F79" s="8">
        <f t="shared" si="5"/>
        <v>2483.877523553163</v>
      </c>
      <c r="G79" s="8">
        <f t="shared" si="8"/>
        <v>3384.3792048929663</v>
      </c>
      <c r="H79" s="8">
        <f t="shared" si="9"/>
        <v>3348.8341793570221</v>
      </c>
      <c r="R79" s="8">
        <f t="shared" si="7"/>
        <v>2147.9198036006546</v>
      </c>
    </row>
    <row r="80" spans="1:18">
      <c r="A80" t="s">
        <v>7</v>
      </c>
      <c r="B80" s="14">
        <f t="shared" si="6"/>
        <v>2251.3596614950634</v>
      </c>
      <c r="C80" s="14">
        <f t="shared" si="6"/>
        <v>2255.3518072289157</v>
      </c>
      <c r="D80" s="8">
        <f t="shared" si="6"/>
        <v>2298.7419847328242</v>
      </c>
      <c r="E80" s="8">
        <f t="shared" si="6"/>
        <v>2971.6052934407367</v>
      </c>
      <c r="F80" s="8">
        <f t="shared" si="5"/>
        <v>2341.4384949348769</v>
      </c>
      <c r="G80" s="8">
        <f t="shared" si="8"/>
        <v>2651.9316493313522</v>
      </c>
      <c r="H80" s="8">
        <f t="shared" si="9"/>
        <v>3580.8539603960394</v>
      </c>
      <c r="R80" s="8">
        <f t="shared" si="7"/>
        <v>2019.4900763358778</v>
      </c>
    </row>
    <row r="81" spans="1:18">
      <c r="A81" t="s">
        <v>8</v>
      </c>
      <c r="B81" s="14">
        <f t="shared" si="6"/>
        <v>2222.5310344827585</v>
      </c>
      <c r="C81" s="14">
        <f t="shared" si="6"/>
        <v>2247.87</v>
      </c>
      <c r="D81" s="8">
        <f t="shared" si="6"/>
        <v>2467.7516170763261</v>
      </c>
      <c r="E81" s="8">
        <f t="shared" si="6"/>
        <v>2854.1725955204215</v>
      </c>
      <c r="F81" s="8">
        <f t="shared" si="5"/>
        <v>2994.4776978417267</v>
      </c>
      <c r="G81" s="8">
        <f t="shared" si="8"/>
        <v>2925.6429608127723</v>
      </c>
      <c r="H81" s="8">
        <f t="shared" si="9"/>
        <v>4007.1985645933014</v>
      </c>
      <c r="R81" s="8">
        <f t="shared" si="7"/>
        <v>1929.3661060802069</v>
      </c>
    </row>
    <row r="82" spans="1:18">
      <c r="A82" t="s">
        <v>9</v>
      </c>
      <c r="B82" s="14">
        <f t="shared" si="6"/>
        <v>2066.8843710292249</v>
      </c>
      <c r="C82" s="14">
        <f t="shared" si="6"/>
        <v>2054.8150134048255</v>
      </c>
      <c r="D82" s="8">
        <f t="shared" si="6"/>
        <v>2068.5736434108526</v>
      </c>
      <c r="E82" s="8">
        <f t="shared" si="6"/>
        <v>3222.8475033738191</v>
      </c>
      <c r="F82" s="8">
        <f t="shared" si="5"/>
        <v>1893.1687170474518</v>
      </c>
      <c r="G82" s="8">
        <f t="shared" si="8"/>
        <v>2995.3639097744363</v>
      </c>
      <c r="H82" s="8">
        <f t="shared" si="9"/>
        <v>5165.0716049382718</v>
      </c>
      <c r="R82" s="8">
        <f t="shared" si="7"/>
        <v>1723.1770025839794</v>
      </c>
    </row>
    <row r="83" spans="1:18">
      <c r="A83" t="s">
        <v>10</v>
      </c>
      <c r="B83" s="14">
        <f t="shared" si="6"/>
        <v>2054.6689254598259</v>
      </c>
      <c r="C83" s="14">
        <f t="shared" si="6"/>
        <v>2088.0695364238409</v>
      </c>
      <c r="D83" s="8">
        <f t="shared" si="6"/>
        <v>2130.5035294117647</v>
      </c>
      <c r="E83" s="8">
        <f t="shared" si="6"/>
        <v>2636.6467836257311</v>
      </c>
      <c r="F83" s="8">
        <f t="shared" si="5"/>
        <v>2397.3746770025841</v>
      </c>
      <c r="G83" s="8">
        <f t="shared" si="8"/>
        <v>2799.3376623376626</v>
      </c>
      <c r="H83" s="8">
        <f t="shared" si="9"/>
        <v>3906.09375</v>
      </c>
      <c r="R83" s="8">
        <f t="shared" si="7"/>
        <v>1924.9364705882354</v>
      </c>
    </row>
    <row r="84" spans="1:18">
      <c r="A84" t="s">
        <v>11</v>
      </c>
      <c r="B84" s="14">
        <f t="shared" si="6"/>
        <v>2148.701063829787</v>
      </c>
      <c r="C84" s="14">
        <f t="shared" si="6"/>
        <v>2002.1484018264839</v>
      </c>
      <c r="D84" s="8">
        <f t="shared" si="6"/>
        <v>2282.4355444305384</v>
      </c>
      <c r="E84" s="8">
        <f t="shared" si="6"/>
        <v>3188.1273743016759</v>
      </c>
      <c r="F84" s="8">
        <f t="shared" si="5"/>
        <v>2372.5135951661632</v>
      </c>
      <c r="G84" s="8">
        <f t="shared" si="8"/>
        <v>2783.7993779160188</v>
      </c>
      <c r="H84" s="8">
        <f t="shared" si="9"/>
        <v>3346.1425120772947</v>
      </c>
      <c r="R84" s="8">
        <f t="shared" si="7"/>
        <v>2559.4608378870676</v>
      </c>
    </row>
    <row r="85" spans="1:18">
      <c r="A85" t="s">
        <v>12</v>
      </c>
      <c r="B85" s="14">
        <f t="shared" si="6"/>
        <v>2023.2071901608326</v>
      </c>
      <c r="C85" s="14">
        <f t="shared" si="6"/>
        <v>2306.9304964539006</v>
      </c>
      <c r="D85" s="8">
        <f t="shared" si="6"/>
        <v>2115.4444444444443</v>
      </c>
      <c r="E85" s="8">
        <f t="shared" si="6"/>
        <v>3461.8521126760565</v>
      </c>
      <c r="F85" s="8">
        <f t="shared" si="5"/>
        <v>2304.8522427440635</v>
      </c>
      <c r="G85" s="8">
        <f t="shared" si="8"/>
        <v>2862.2676470588235</v>
      </c>
      <c r="H85" s="8">
        <f t="shared" si="9"/>
        <v>3369.8090128755366</v>
      </c>
      <c r="R85" s="8">
        <f t="shared" si="7"/>
        <v>2210.702503681885</v>
      </c>
    </row>
    <row r="86" spans="1:18">
      <c r="D86" s="8"/>
      <c r="E86" s="8"/>
      <c r="F86" s="8"/>
      <c r="G86" s="8"/>
      <c r="H86" s="8"/>
      <c r="R86" s="8"/>
    </row>
    <row r="87" spans="1:18">
      <c r="D87" s="8"/>
      <c r="E87" s="8"/>
      <c r="F87" s="8"/>
      <c r="G87" s="8"/>
      <c r="H87" s="8"/>
      <c r="R87" s="8"/>
    </row>
    <row r="88" spans="1:18">
      <c r="B88">
        <v>2000</v>
      </c>
      <c r="C88">
        <v>2001</v>
      </c>
      <c r="D88">
        <v>2004</v>
      </c>
      <c r="E88">
        <v>2005</v>
      </c>
      <c r="F88">
        <v>2006</v>
      </c>
      <c r="G88">
        <v>2007</v>
      </c>
      <c r="H88">
        <v>2008</v>
      </c>
      <c r="R88" s="8">
        <v>2002</v>
      </c>
    </row>
    <row r="89" spans="1:18">
      <c r="A89" t="s">
        <v>46</v>
      </c>
      <c r="D89" s="8"/>
      <c r="E89" s="8"/>
      <c r="F89" s="8"/>
      <c r="G89" s="8"/>
      <c r="H89" s="8"/>
      <c r="R89" s="8"/>
    </row>
    <row r="90" spans="1:18">
      <c r="A90" t="s">
        <v>1</v>
      </c>
      <c r="B90" s="14">
        <f>+B59/B74</f>
        <v>1133.5179442914095</v>
      </c>
      <c r="C90" s="14">
        <f>+C59/C74</f>
        <v>1123.3507285981725</v>
      </c>
      <c r="D90" s="8">
        <f>+D59/D74</f>
        <v>1555.3191861125431</v>
      </c>
      <c r="E90" s="8">
        <f>+E59/E74</f>
        <v>1292.4769352447702</v>
      </c>
      <c r="F90" s="8">
        <f>+F59/F74</f>
        <v>1574.4871816692666</v>
      </c>
      <c r="G90" s="8">
        <f>IF(G43&gt;0,+G59/G74,0)</f>
        <v>2049.6415227470497</v>
      </c>
      <c r="H90" s="8">
        <f>IF(H43&gt;0,+H59/H74,0)</f>
        <v>1504.6410232752567</v>
      </c>
      <c r="R90" s="8">
        <f>+R59/R74</f>
        <v>1571.1990044994261</v>
      </c>
    </row>
    <row r="91" spans="1:18">
      <c r="A91" t="s">
        <v>2</v>
      </c>
      <c r="B91" s="14">
        <f t="shared" ref="B91:E101" si="10">+B60/B75</f>
        <v>1158.9460609508344</v>
      </c>
      <c r="C91" s="14">
        <f t="shared" si="10"/>
        <v>1039.9256130679109</v>
      </c>
      <c r="D91" s="8">
        <f t="shared" si="10"/>
        <v>1493.8832958395019</v>
      </c>
      <c r="E91" s="8">
        <f t="shared" ref="E91:F95" si="11">+E60/E75</f>
        <v>1434.9715882322039</v>
      </c>
      <c r="F91" s="8">
        <f t="shared" si="11"/>
        <v>1524.4365344069131</v>
      </c>
      <c r="G91" s="8">
        <f t="shared" ref="G91:G101" si="12">IF(G44&gt;0,+G60/G75,0)</f>
        <v>1599.6515540364148</v>
      </c>
      <c r="H91" s="8">
        <f t="shared" ref="H91:H101" si="13">IF(H44&gt;0,+H60/H75,0)</f>
        <v>1302.7838690337949</v>
      </c>
      <c r="R91" s="8">
        <f t="shared" ref="R91:R101" si="14">+R60/R75</f>
        <v>1456.8650949879639</v>
      </c>
    </row>
    <row r="92" spans="1:18">
      <c r="A92" t="s">
        <v>3</v>
      </c>
      <c r="B92" s="14">
        <f t="shared" si="10"/>
        <v>1213.0966573388444</v>
      </c>
      <c r="C92" s="14">
        <f t="shared" si="10"/>
        <v>1084.3987281583488</v>
      </c>
      <c r="D92" s="8">
        <f t="shared" si="10"/>
        <v>1454.0378551559968</v>
      </c>
      <c r="E92" s="8">
        <f t="shared" si="11"/>
        <v>1336.3162945869281</v>
      </c>
      <c r="F92" s="8">
        <f t="shared" si="11"/>
        <v>1557.9705215305294</v>
      </c>
      <c r="G92" s="8">
        <f t="shared" si="12"/>
        <v>1492.498387749079</v>
      </c>
      <c r="H92" s="8">
        <f t="shared" si="13"/>
        <v>1296.9881048138545</v>
      </c>
      <c r="R92" s="8">
        <f t="shared" si="14"/>
        <v>1345.3200426482672</v>
      </c>
    </row>
    <row r="93" spans="1:18">
      <c r="A93" t="s">
        <v>4</v>
      </c>
      <c r="B93" s="14">
        <f t="shared" si="10"/>
        <v>1062.2412959634628</v>
      </c>
      <c r="C93" s="14">
        <f t="shared" si="10"/>
        <v>1160.4483704954141</v>
      </c>
      <c r="D93" s="8">
        <f t="shared" si="10"/>
        <v>1858.0852375861496</v>
      </c>
      <c r="E93" s="8">
        <f t="shared" si="11"/>
        <v>1454.0291260953938</v>
      </c>
      <c r="F93" s="8">
        <f t="shared" si="11"/>
        <v>1729.2555373217667</v>
      </c>
      <c r="G93" s="8">
        <f t="shared" si="12"/>
        <v>1646.7395075100551</v>
      </c>
      <c r="H93" s="8">
        <f t="shared" si="13"/>
        <v>1055.089182845192</v>
      </c>
      <c r="R93" s="8">
        <f t="shared" si="14"/>
        <v>1436.3159910584336</v>
      </c>
    </row>
    <row r="94" spans="1:18">
      <c r="A94" t="s">
        <v>5</v>
      </c>
      <c r="B94" s="14">
        <f t="shared" si="10"/>
        <v>1115.1913207751536</v>
      </c>
      <c r="C94" s="14">
        <f t="shared" si="10"/>
        <v>1284.346192468902</v>
      </c>
      <c r="D94" s="8">
        <f t="shared" si="10"/>
        <v>1346.7938867777993</v>
      </c>
      <c r="E94" s="8">
        <f t="shared" si="11"/>
        <v>1484.6252829949149</v>
      </c>
      <c r="F94" s="8">
        <f t="shared" si="11"/>
        <v>1387.3853042894332</v>
      </c>
      <c r="G94" s="8">
        <f t="shared" si="12"/>
        <v>1434.9218294485349</v>
      </c>
      <c r="H94" s="8">
        <f t="shared" si="13"/>
        <v>1436.8577037855543</v>
      </c>
      <c r="R94" s="8">
        <f t="shared" si="14"/>
        <v>1432.6212151330935</v>
      </c>
    </row>
    <row r="95" spans="1:18">
      <c r="A95" t="s">
        <v>6</v>
      </c>
      <c r="B95" s="14">
        <f t="shared" si="10"/>
        <v>939.94983357779529</v>
      </c>
      <c r="C95" s="14">
        <f t="shared" si="10"/>
        <v>1137.272977455915</v>
      </c>
      <c r="D95" s="8">
        <f t="shared" si="10"/>
        <v>1506.6572762175804</v>
      </c>
      <c r="E95" s="8">
        <f t="shared" si="11"/>
        <v>1237.8058376768429</v>
      </c>
      <c r="F95" s="8">
        <f t="shared" si="11"/>
        <v>1510.3003124862844</v>
      </c>
      <c r="G95" s="8">
        <f t="shared" si="12"/>
        <v>1293.7149577298833</v>
      </c>
      <c r="H95" s="8">
        <f t="shared" si="13"/>
        <v>1162.5744338131158</v>
      </c>
      <c r="R95" s="8">
        <f t="shared" si="14"/>
        <v>1600.9550236631339</v>
      </c>
    </row>
    <row r="96" spans="1:18">
      <c r="A96" t="s">
        <v>7</v>
      </c>
      <c r="B96" s="14">
        <f t="shared" si="10"/>
        <v>984.01469915688006</v>
      </c>
      <c r="C96" s="14">
        <f t="shared" si="10"/>
        <v>1118.6529710856425</v>
      </c>
      <c r="D96" s="8">
        <f t="shared" si="10"/>
        <v>1452.7437277342538</v>
      </c>
      <c r="E96" s="8">
        <f>+E65/E80</f>
        <v>2152.6987497700716</v>
      </c>
      <c r="F96" s="8">
        <f>+F66/F80</f>
        <v>1918.9951005418022</v>
      </c>
      <c r="G96" s="8">
        <f t="shared" si="12"/>
        <v>1525.2844095811738</v>
      </c>
      <c r="H96" s="8">
        <f t="shared" si="13"/>
        <v>1119.0601583642379</v>
      </c>
      <c r="R96" s="8">
        <f t="shared" si="14"/>
        <v>1685.5814444882919</v>
      </c>
    </row>
    <row r="97" spans="1:18">
      <c r="A97" t="s">
        <v>8</v>
      </c>
      <c r="B97" s="14">
        <f t="shared" si="10"/>
        <v>982.81417272013584</v>
      </c>
      <c r="C97" s="14">
        <f t="shared" si="10"/>
        <v>1297.6862540983243</v>
      </c>
      <c r="D97" s="8">
        <f t="shared" si="10"/>
        <v>1490.2950420744276</v>
      </c>
      <c r="E97" s="8">
        <f t="shared" si="10"/>
        <v>1328.3408319281066</v>
      </c>
      <c r="F97" s="8">
        <f>+F67/F81</f>
        <v>1233.0036729480935</v>
      </c>
      <c r="G97" s="8">
        <f t="shared" si="12"/>
        <v>1500.6212510566691</v>
      </c>
      <c r="H97" s="8">
        <f t="shared" si="13"/>
        <v>964.19529447304467</v>
      </c>
      <c r="R97" s="8">
        <f t="shared" si="14"/>
        <v>1860.9277879844442</v>
      </c>
    </row>
    <row r="98" spans="1:18">
      <c r="A98" t="s">
        <v>9</v>
      </c>
      <c r="B98" s="14">
        <f t="shared" si="10"/>
        <v>1009.6457398634484</v>
      </c>
      <c r="C98" s="14">
        <f t="shared" si="10"/>
        <v>1298.9125456979357</v>
      </c>
      <c r="D98" s="8">
        <f t="shared" si="10"/>
        <v>1527.982825299986</v>
      </c>
      <c r="E98" s="8">
        <f t="shared" si="10"/>
        <v>1311.880253587535</v>
      </c>
      <c r="F98" s="8">
        <f>+F68/F82</f>
        <v>2237.2189873311963</v>
      </c>
      <c r="G98" s="8">
        <f t="shared" si="12"/>
        <v>1332.5052047851391</v>
      </c>
      <c r="H98" s="8">
        <f t="shared" si="13"/>
        <v>703.85490813412412</v>
      </c>
      <c r="R98" s="8">
        <f t="shared" si="14"/>
        <v>1924.6670510497181</v>
      </c>
    </row>
    <row r="99" spans="1:18">
      <c r="A99" t="s">
        <v>10</v>
      </c>
      <c r="B99" s="14">
        <f t="shared" si="10"/>
        <v>1110.8660727368499</v>
      </c>
      <c r="C99" s="14">
        <f t="shared" si="10"/>
        <v>1368.7436889170106</v>
      </c>
      <c r="D99" s="8">
        <f t="shared" si="10"/>
        <v>1486.0055176130691</v>
      </c>
      <c r="E99" s="8">
        <f t="shared" si="10"/>
        <v>1469.9739168969268</v>
      </c>
      <c r="F99" s="8">
        <f>+F69/F83</f>
        <v>1762.3861804040594</v>
      </c>
      <c r="G99" s="8">
        <f t="shared" si="12"/>
        <v>1432.8753740448806</v>
      </c>
      <c r="H99" s="8">
        <f t="shared" si="13"/>
        <v>972.45029001160049</v>
      </c>
      <c r="R99" s="8">
        <f t="shared" si="14"/>
        <v>1844.299307662407</v>
      </c>
    </row>
    <row r="100" spans="1:18">
      <c r="A100" t="s">
        <v>11</v>
      </c>
      <c r="B100" s="14">
        <f t="shared" si="10"/>
        <v>1063.329393958448</v>
      </c>
      <c r="C100" s="14">
        <f t="shared" si="10"/>
        <v>1384.7070464261565</v>
      </c>
      <c r="D100" s="8">
        <f t="shared" si="10"/>
        <v>1302.6361279971222</v>
      </c>
      <c r="E100" s="8">
        <f t="shared" si="10"/>
        <v>1270.7058170432617</v>
      </c>
      <c r="F100" s="8">
        <f>+F69/F84</f>
        <v>1780.8538625904428</v>
      </c>
      <c r="G100" s="8">
        <f t="shared" si="12"/>
        <v>1334.2222250155448</v>
      </c>
      <c r="H100" s="8">
        <f t="shared" si="13"/>
        <v>1046.9303047780882</v>
      </c>
      <c r="R100" s="8">
        <f t="shared" si="14"/>
        <v>1289.8103190847344</v>
      </c>
    </row>
    <row r="101" spans="1:18">
      <c r="A101" t="s">
        <v>12</v>
      </c>
      <c r="B101" s="14">
        <f t="shared" si="10"/>
        <v>1100.3292252154517</v>
      </c>
      <c r="C101" s="14">
        <f t="shared" si="10"/>
        <v>1161.3839273087694</v>
      </c>
      <c r="D101" s="8">
        <f t="shared" si="10"/>
        <v>1439.7140080886602</v>
      </c>
      <c r="E101" s="8">
        <f t="shared" si="10"/>
        <v>1111.1219875382183</v>
      </c>
      <c r="F101" s="8">
        <f>+F70/F85</f>
        <v>1861.3535915397022</v>
      </c>
      <c r="G101" s="8">
        <f t="shared" si="12"/>
        <v>1189.6371757892498</v>
      </c>
      <c r="H101" s="8">
        <f t="shared" si="13"/>
        <v>1227.086456294883</v>
      </c>
      <c r="R101" s="8">
        <f t="shared" si="14"/>
        <v>1487.7718709424696</v>
      </c>
    </row>
    <row r="102" spans="1:18">
      <c r="D102" s="8"/>
      <c r="E102" s="8"/>
      <c r="F102" s="8"/>
      <c r="G102" s="8"/>
      <c r="H102" s="8"/>
      <c r="R102" s="8"/>
    </row>
    <row r="103" spans="1:18">
      <c r="D103" s="8"/>
      <c r="E103" s="8"/>
      <c r="F103" s="8"/>
      <c r="G103" s="8"/>
      <c r="H103" s="8"/>
      <c r="R103" s="8"/>
    </row>
    <row r="104" spans="1:18">
      <c r="D104" s="8"/>
      <c r="E104" s="8"/>
      <c r="F104" s="8"/>
      <c r="G104" s="8"/>
      <c r="H104" s="8"/>
    </row>
    <row r="105" spans="1:18">
      <c r="D105" s="8"/>
      <c r="E105" s="8"/>
      <c r="F105" s="8"/>
      <c r="G105" s="8"/>
      <c r="H105" s="8"/>
    </row>
    <row r="106" spans="1:18">
      <c r="D106" s="8"/>
      <c r="E106" s="8"/>
      <c r="F106" s="8"/>
      <c r="G106" s="8"/>
      <c r="H106" s="8"/>
    </row>
    <row r="107" spans="1:18">
      <c r="D107" s="8"/>
      <c r="E107" s="8"/>
      <c r="F107" s="8"/>
      <c r="G107" s="8"/>
      <c r="H107" s="8"/>
    </row>
    <row r="108" spans="1:18">
      <c r="D108" s="8"/>
      <c r="E108" s="8"/>
      <c r="F108" s="8"/>
      <c r="G108" s="8"/>
      <c r="H108" s="8"/>
    </row>
    <row r="109" spans="1:18">
      <c r="D109" s="8"/>
      <c r="E109" s="8"/>
      <c r="F109" s="8"/>
      <c r="G109" s="8"/>
      <c r="H109" s="8"/>
    </row>
    <row r="110" spans="1:18">
      <c r="D110" s="8"/>
      <c r="E110" s="8"/>
      <c r="F110" s="8"/>
      <c r="G110" s="8"/>
      <c r="H110" s="8"/>
    </row>
    <row r="111" spans="1:18">
      <c r="D111" s="8"/>
      <c r="E111" s="8"/>
      <c r="F111" s="8"/>
      <c r="G111" s="8"/>
      <c r="H111" s="8"/>
    </row>
    <row r="112" spans="1:18">
      <c r="D112" s="8"/>
      <c r="E112" s="8"/>
      <c r="F112" s="8"/>
      <c r="G112" s="8"/>
      <c r="H112" s="8"/>
    </row>
    <row r="113" spans="4:8">
      <c r="D113" s="8"/>
      <c r="E113" s="8"/>
      <c r="F113" s="8"/>
      <c r="G113" s="8"/>
      <c r="H113" s="8"/>
    </row>
    <row r="114" spans="4:8">
      <c r="D114" s="8"/>
      <c r="E114" s="8"/>
      <c r="F114" s="8"/>
      <c r="G114" s="8"/>
      <c r="H114" s="8"/>
    </row>
    <row r="115" spans="4:8">
      <c r="D115" s="8"/>
      <c r="E115" s="8"/>
      <c r="F115" s="8"/>
      <c r="G115" s="8"/>
      <c r="H115" s="8"/>
    </row>
    <row r="116" spans="4:8">
      <c r="D116" s="8"/>
      <c r="E116" s="8"/>
      <c r="F116" s="8"/>
      <c r="G116" s="8"/>
      <c r="H116" s="8"/>
    </row>
    <row r="117" spans="4:8">
      <c r="D117" s="8"/>
      <c r="E117" s="8"/>
      <c r="F117" s="8"/>
      <c r="G117" s="8"/>
      <c r="H117" s="8"/>
    </row>
    <row r="118" spans="4:8">
      <c r="D118" s="8"/>
      <c r="E118" s="8"/>
      <c r="F118" s="8"/>
      <c r="G118" s="8"/>
      <c r="H118" s="8"/>
    </row>
    <row r="119" spans="4:8">
      <c r="D119" s="8"/>
      <c r="E119" s="8"/>
      <c r="F119" s="8"/>
      <c r="G119" s="8"/>
      <c r="H119" s="8"/>
    </row>
    <row r="120" spans="4:8">
      <c r="D120" s="8"/>
      <c r="E120" s="8"/>
      <c r="F120" s="8"/>
      <c r="G120" s="8"/>
      <c r="H120" s="8"/>
    </row>
    <row r="121" spans="4:8">
      <c r="D121" s="8"/>
      <c r="E121" s="8"/>
      <c r="F121" s="8"/>
      <c r="G121" s="8"/>
      <c r="H121" s="8"/>
    </row>
    <row r="122" spans="4:8">
      <c r="D122" s="8"/>
      <c r="E122" s="8"/>
      <c r="F122" s="8"/>
      <c r="G122" s="8"/>
      <c r="H122" s="8"/>
    </row>
    <row r="123" spans="4:8">
      <c r="D123" s="8"/>
      <c r="E123" s="8"/>
      <c r="F123" s="8"/>
      <c r="G123" s="8"/>
      <c r="H123" s="8"/>
    </row>
    <row r="124" spans="4:8">
      <c r="D124" s="8"/>
      <c r="E124" s="8"/>
      <c r="F124" s="8"/>
      <c r="G124" s="8"/>
      <c r="H124" s="8"/>
    </row>
    <row r="125" spans="4:8">
      <c r="D125" s="8"/>
      <c r="E125" s="8"/>
      <c r="F125" s="8"/>
      <c r="G125" s="8"/>
      <c r="H125" s="8"/>
    </row>
    <row r="126" spans="4:8">
      <c r="D126" s="8"/>
      <c r="E126" s="8"/>
      <c r="F126" s="8"/>
      <c r="G126" s="8"/>
      <c r="H126" s="8"/>
    </row>
    <row r="127" spans="4:8">
      <c r="D127" s="8"/>
      <c r="E127" s="8"/>
      <c r="F127" s="8"/>
      <c r="G127" s="8"/>
      <c r="H127" s="8"/>
    </row>
    <row r="128" spans="4:8">
      <c r="D128" s="8"/>
      <c r="E128" s="8"/>
      <c r="F128" s="8"/>
      <c r="G128" s="8"/>
      <c r="H128" s="8"/>
    </row>
    <row r="129" spans="4:8">
      <c r="D129" s="8"/>
      <c r="E129" s="8"/>
      <c r="F129" s="8"/>
      <c r="G129" s="8"/>
      <c r="H129" s="8"/>
    </row>
    <row r="130" spans="4:8">
      <c r="D130" s="8"/>
      <c r="E130" s="8"/>
      <c r="F130" s="8"/>
      <c r="G130" s="8"/>
      <c r="H130" s="8"/>
    </row>
    <row r="131" spans="4:8">
      <c r="D131" s="8"/>
      <c r="E131" s="8"/>
      <c r="F131" s="8"/>
      <c r="G131" s="8"/>
      <c r="H131" s="8"/>
    </row>
    <row r="132" spans="4:8">
      <c r="D132" s="8"/>
      <c r="E132" s="8"/>
      <c r="F132" s="8"/>
      <c r="G132" s="8"/>
      <c r="H132" s="8"/>
    </row>
    <row r="133" spans="4:8">
      <c r="D133" s="8"/>
      <c r="E133" s="8"/>
      <c r="F133" s="8"/>
      <c r="G133" s="8"/>
      <c r="H133" s="8"/>
    </row>
    <row r="134" spans="4:8">
      <c r="D134" s="8"/>
      <c r="E134" s="8"/>
      <c r="F134" s="8"/>
      <c r="G134" s="8"/>
      <c r="H134" s="8"/>
    </row>
    <row r="135" spans="4:8">
      <c r="D135" s="8"/>
      <c r="E135" s="8"/>
      <c r="F135" s="8"/>
      <c r="G135" s="8"/>
      <c r="H135" s="8"/>
    </row>
    <row r="136" spans="4:8">
      <c r="D136" s="8"/>
      <c r="E136" s="8"/>
      <c r="F136" s="8"/>
      <c r="G136" s="8"/>
      <c r="H136" s="8"/>
    </row>
  </sheetData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T20"/>
  <sheetViews>
    <sheetView topLeftCell="A2" workbookViewId="0">
      <selection activeCell="H17" sqref="H17"/>
    </sheetView>
  </sheetViews>
  <sheetFormatPr defaultRowHeight="12.75"/>
  <cols>
    <col min="2" max="4" width="0" hidden="1" customWidth="1"/>
  </cols>
  <sheetData>
    <row r="1" spans="1:20">
      <c r="A1" t="s">
        <v>14</v>
      </c>
    </row>
    <row r="2" spans="1:20">
      <c r="J2" s="23" t="s">
        <v>167</v>
      </c>
      <c r="K2" s="23" t="s">
        <v>7</v>
      </c>
    </row>
    <row r="3" spans="1:20">
      <c r="I3" t="s">
        <v>68</v>
      </c>
      <c r="J3">
        <v>3738020</v>
      </c>
      <c r="K3">
        <v>619222</v>
      </c>
    </row>
    <row r="4" spans="1:20">
      <c r="B4">
        <v>2000</v>
      </c>
      <c r="C4">
        <v>2001</v>
      </c>
      <c r="D4">
        <v>2004</v>
      </c>
      <c r="E4">
        <v>2005</v>
      </c>
      <c r="F4">
        <v>2006</v>
      </c>
      <c r="G4">
        <v>2007</v>
      </c>
      <c r="H4">
        <v>2008</v>
      </c>
      <c r="I4" t="s">
        <v>168</v>
      </c>
      <c r="J4">
        <v>1278</v>
      </c>
      <c r="K4">
        <f>+K3/K5</f>
        <v>211.7071915078036</v>
      </c>
      <c r="S4">
        <v>2002</v>
      </c>
      <c r="T4">
        <v>2003</v>
      </c>
    </row>
    <row r="5" spans="1:20">
      <c r="A5" t="s">
        <v>32</v>
      </c>
      <c r="B5">
        <v>249</v>
      </c>
      <c r="C5">
        <v>231</v>
      </c>
      <c r="D5">
        <v>235</v>
      </c>
      <c r="E5">
        <v>191</v>
      </c>
      <c r="F5">
        <v>215</v>
      </c>
      <c r="G5">
        <v>248</v>
      </c>
      <c r="H5">
        <v>174</v>
      </c>
      <c r="I5" t="s">
        <v>169</v>
      </c>
      <c r="J5">
        <f>+J3/J4</f>
        <v>2924.8982785602502</v>
      </c>
      <c r="K5">
        <f>+J5</f>
        <v>2924.8982785602502</v>
      </c>
      <c r="S5">
        <v>241</v>
      </c>
      <c r="T5">
        <v>178</v>
      </c>
    </row>
    <row r="6" spans="1:20">
      <c r="A6" t="s">
        <v>33</v>
      </c>
      <c r="B6">
        <v>271</v>
      </c>
      <c r="C6">
        <v>238</v>
      </c>
      <c r="D6">
        <v>192</v>
      </c>
      <c r="E6">
        <v>174</v>
      </c>
      <c r="F6">
        <v>212</v>
      </c>
      <c r="G6">
        <v>172</v>
      </c>
      <c r="H6">
        <v>184</v>
      </c>
      <c r="S6">
        <v>241</v>
      </c>
      <c r="T6">
        <v>231</v>
      </c>
    </row>
    <row r="7" spans="1:20">
      <c r="A7" t="s">
        <v>34</v>
      </c>
      <c r="B7">
        <v>274</v>
      </c>
      <c r="C7">
        <v>271</v>
      </c>
      <c r="D7">
        <v>237</v>
      </c>
      <c r="E7">
        <v>251</v>
      </c>
      <c r="F7">
        <v>199</v>
      </c>
      <c r="G7">
        <v>177</v>
      </c>
      <c r="H7">
        <v>159</v>
      </c>
      <c r="S7">
        <v>223</v>
      </c>
      <c r="T7">
        <v>271</v>
      </c>
    </row>
    <row r="8" spans="1:20">
      <c r="A8" t="s">
        <v>35</v>
      </c>
      <c r="B8">
        <v>247</v>
      </c>
      <c r="C8">
        <v>277</v>
      </c>
      <c r="D8">
        <v>216</v>
      </c>
      <c r="E8">
        <v>200</v>
      </c>
      <c r="F8">
        <v>229</v>
      </c>
      <c r="G8">
        <v>228</v>
      </c>
      <c r="H8">
        <v>191</v>
      </c>
      <c r="S8">
        <v>256</v>
      </c>
      <c r="T8">
        <v>278</v>
      </c>
    </row>
    <row r="9" spans="1:20">
      <c r="A9" t="s">
        <v>5</v>
      </c>
      <c r="B9">
        <v>229</v>
      </c>
      <c r="C9">
        <v>285</v>
      </c>
      <c r="D9">
        <v>208</v>
      </c>
      <c r="E9">
        <v>210</v>
      </c>
      <c r="F9">
        <v>234</v>
      </c>
      <c r="G9">
        <v>219</v>
      </c>
      <c r="H9">
        <v>230</v>
      </c>
      <c r="S9">
        <v>232</v>
      </c>
      <c r="T9">
        <v>231</v>
      </c>
    </row>
    <row r="10" spans="1:20">
      <c r="A10" t="s">
        <v>141</v>
      </c>
      <c r="B10">
        <v>234</v>
      </c>
      <c r="C10">
        <v>266</v>
      </c>
      <c r="D10">
        <v>204</v>
      </c>
      <c r="E10">
        <v>219</v>
      </c>
      <c r="F10">
        <v>248</v>
      </c>
      <c r="G10">
        <v>234</v>
      </c>
      <c r="H10">
        <v>180</v>
      </c>
      <c r="S10">
        <v>192</v>
      </c>
      <c r="T10">
        <v>247</v>
      </c>
    </row>
    <row r="11" spans="1:20">
      <c r="A11" t="s">
        <v>142</v>
      </c>
      <c r="B11">
        <v>228</v>
      </c>
      <c r="C11">
        <v>293</v>
      </c>
      <c r="D11">
        <v>205</v>
      </c>
      <c r="E11">
        <v>204</v>
      </c>
      <c r="F11">
        <v>212</v>
      </c>
      <c r="G11" s="1">
        <v>191</v>
      </c>
      <c r="H11">
        <v>226</v>
      </c>
      <c r="S11">
        <v>168</v>
      </c>
      <c r="T11">
        <v>290</v>
      </c>
    </row>
    <row r="12" spans="1:20">
      <c r="A12" t="s">
        <v>8</v>
      </c>
      <c r="B12">
        <v>259</v>
      </c>
      <c r="C12">
        <v>311</v>
      </c>
      <c r="D12">
        <v>224</v>
      </c>
      <c r="E12">
        <v>255</v>
      </c>
      <c r="F12">
        <v>269</v>
      </c>
      <c r="G12">
        <v>257</v>
      </c>
      <c r="H12">
        <v>220</v>
      </c>
      <c r="S12">
        <v>164</v>
      </c>
      <c r="T12">
        <v>261</v>
      </c>
    </row>
    <row r="13" spans="1:20">
      <c r="A13" t="s">
        <v>143</v>
      </c>
      <c r="B13">
        <v>261</v>
      </c>
      <c r="C13">
        <v>236</v>
      </c>
      <c r="D13">
        <v>185</v>
      </c>
      <c r="E13">
        <v>222</v>
      </c>
      <c r="F13">
        <v>200</v>
      </c>
      <c r="G13">
        <v>216</v>
      </c>
      <c r="H13">
        <v>188</v>
      </c>
      <c r="S13">
        <v>204</v>
      </c>
      <c r="T13">
        <v>220</v>
      </c>
    </row>
    <row r="14" spans="1:20">
      <c r="A14" t="s">
        <v>36</v>
      </c>
      <c r="B14">
        <v>270</v>
      </c>
      <c r="C14">
        <v>286</v>
      </c>
      <c r="D14">
        <v>184</v>
      </c>
      <c r="E14">
        <v>210</v>
      </c>
      <c r="F14">
        <v>201</v>
      </c>
      <c r="G14">
        <v>236</v>
      </c>
      <c r="H14">
        <v>208</v>
      </c>
      <c r="S14">
        <v>163</v>
      </c>
      <c r="T14">
        <v>248</v>
      </c>
    </row>
    <row r="15" spans="1:20">
      <c r="A15" t="s">
        <v>37</v>
      </c>
      <c r="B15">
        <v>262</v>
      </c>
      <c r="C15">
        <v>290</v>
      </c>
      <c r="D15">
        <v>194</v>
      </c>
      <c r="E15">
        <v>249</v>
      </c>
      <c r="F15">
        <v>220</v>
      </c>
      <c r="G15">
        <v>165</v>
      </c>
      <c r="H15">
        <v>150</v>
      </c>
      <c r="S15">
        <v>138</v>
      </c>
      <c r="T15">
        <v>248</v>
      </c>
    </row>
    <row r="16" spans="1:20">
      <c r="A16" t="s">
        <v>12</v>
      </c>
      <c r="B16">
        <v>278</v>
      </c>
      <c r="C16">
        <v>267</v>
      </c>
      <c r="D16">
        <v>220</v>
      </c>
      <c r="E16">
        <v>200</v>
      </c>
      <c r="F16">
        <v>224</v>
      </c>
      <c r="G16">
        <v>186</v>
      </c>
      <c r="H16">
        <v>203</v>
      </c>
      <c r="S16">
        <f>24+115</f>
        <v>139</v>
      </c>
      <c r="T16">
        <v>215</v>
      </c>
    </row>
    <row r="18" spans="2:4">
      <c r="B18">
        <f>SUM(B5:B12)</f>
        <v>1991</v>
      </c>
      <c r="C18">
        <f>SUM(C5:C17)</f>
        <v>3251</v>
      </c>
    </row>
    <row r="19" spans="2:4">
      <c r="C19">
        <f>+C18-B18</f>
        <v>1260</v>
      </c>
    </row>
    <row r="20" spans="2:4">
      <c r="C20" s="2">
        <f>+C19/B18</f>
        <v>0.63284781516825717</v>
      </c>
      <c r="D20" s="2"/>
    </row>
  </sheetData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R20"/>
  <sheetViews>
    <sheetView workbookViewId="0">
      <selection activeCell="H17" sqref="H17"/>
    </sheetView>
  </sheetViews>
  <sheetFormatPr defaultRowHeight="12.75"/>
  <cols>
    <col min="1" max="1" width="8.85546875" bestFit="1" customWidth="1"/>
    <col min="2" max="2" width="5" hidden="1" customWidth="1"/>
    <col min="3" max="3" width="6.28515625" hidden="1" customWidth="1"/>
    <col min="4" max="4" width="5" hidden="1" customWidth="1"/>
  </cols>
  <sheetData>
    <row r="1" spans="1:18">
      <c r="A1" t="s">
        <v>15</v>
      </c>
    </row>
    <row r="4" spans="1:18">
      <c r="B4" s="13">
        <v>2000</v>
      </c>
      <c r="C4" s="13">
        <v>2001</v>
      </c>
      <c r="D4" s="13">
        <v>2004</v>
      </c>
      <c r="E4" s="13">
        <v>2005</v>
      </c>
      <c r="F4" s="13">
        <v>2006</v>
      </c>
      <c r="G4" s="13">
        <v>2007</v>
      </c>
      <c r="H4" s="13">
        <v>2008</v>
      </c>
      <c r="R4" s="13">
        <v>2002</v>
      </c>
    </row>
    <row r="5" spans="1:18">
      <c r="A5" t="s">
        <v>32</v>
      </c>
      <c r="B5">
        <v>933</v>
      </c>
      <c r="C5">
        <v>1045</v>
      </c>
      <c r="D5">
        <v>970</v>
      </c>
      <c r="E5">
        <v>954</v>
      </c>
      <c r="F5">
        <v>1006</v>
      </c>
      <c r="G5">
        <v>906</v>
      </c>
      <c r="H5">
        <v>858</v>
      </c>
      <c r="R5">
        <v>1263</v>
      </c>
    </row>
    <row r="6" spans="1:18">
      <c r="A6" t="s">
        <v>33</v>
      </c>
      <c r="B6">
        <v>763</v>
      </c>
      <c r="C6">
        <v>868</v>
      </c>
      <c r="D6">
        <v>907</v>
      </c>
      <c r="E6">
        <v>1033</v>
      </c>
      <c r="F6">
        <v>852</v>
      </c>
      <c r="G6">
        <v>886</v>
      </c>
      <c r="H6">
        <v>948</v>
      </c>
      <c r="R6">
        <v>967</v>
      </c>
    </row>
    <row r="7" spans="1:18">
      <c r="A7" t="s">
        <v>34</v>
      </c>
      <c r="B7">
        <v>837</v>
      </c>
      <c r="C7">
        <v>1001</v>
      </c>
      <c r="D7">
        <v>973</v>
      </c>
      <c r="E7">
        <v>1128</v>
      </c>
      <c r="F7">
        <v>1031</v>
      </c>
      <c r="G7">
        <v>954</v>
      </c>
      <c r="H7">
        <v>908</v>
      </c>
      <c r="R7">
        <v>974</v>
      </c>
    </row>
    <row r="8" spans="1:18">
      <c r="A8" t="s">
        <v>35</v>
      </c>
      <c r="B8">
        <v>943</v>
      </c>
      <c r="C8">
        <v>1031</v>
      </c>
      <c r="D8">
        <v>952</v>
      </c>
      <c r="E8">
        <v>998</v>
      </c>
      <c r="F8">
        <v>1093</v>
      </c>
      <c r="G8">
        <v>980</v>
      </c>
      <c r="H8">
        <v>910</v>
      </c>
      <c r="R8">
        <v>886</v>
      </c>
    </row>
    <row r="9" spans="1:18">
      <c r="A9" t="s">
        <v>5</v>
      </c>
      <c r="B9">
        <v>981</v>
      </c>
      <c r="C9">
        <v>1065</v>
      </c>
      <c r="D9">
        <v>1034</v>
      </c>
      <c r="E9">
        <v>1001</v>
      </c>
      <c r="F9">
        <v>1129</v>
      </c>
      <c r="G9">
        <v>1002</v>
      </c>
      <c r="H9">
        <v>993</v>
      </c>
      <c r="R9">
        <v>919</v>
      </c>
    </row>
    <row r="10" spans="1:18">
      <c r="A10" t="s">
        <v>141</v>
      </c>
      <c r="B10">
        <v>923</v>
      </c>
      <c r="C10">
        <v>1050</v>
      </c>
      <c r="D10">
        <v>1086</v>
      </c>
      <c r="E10">
        <v>1055</v>
      </c>
      <c r="F10">
        <v>1024</v>
      </c>
      <c r="G10">
        <v>963</v>
      </c>
      <c r="H10">
        <v>908</v>
      </c>
      <c r="R10">
        <v>1033</v>
      </c>
    </row>
    <row r="11" spans="1:18">
      <c r="A11" t="s">
        <v>142</v>
      </c>
      <c r="B11">
        <v>1030</v>
      </c>
      <c r="C11">
        <v>1119</v>
      </c>
      <c r="D11">
        <v>1073</v>
      </c>
      <c r="E11">
        <v>1111</v>
      </c>
      <c r="F11">
        <v>1090</v>
      </c>
      <c r="G11">
        <v>1011</v>
      </c>
      <c r="H11">
        <v>992</v>
      </c>
      <c r="R11">
        <v>1064</v>
      </c>
    </row>
    <row r="12" spans="1:18">
      <c r="A12" t="s">
        <v>8</v>
      </c>
      <c r="B12">
        <v>927</v>
      </c>
      <c r="C12">
        <v>1034</v>
      </c>
      <c r="D12">
        <v>1078</v>
      </c>
      <c r="E12">
        <v>1062</v>
      </c>
      <c r="F12">
        <v>994</v>
      </c>
      <c r="G12">
        <v>931</v>
      </c>
      <c r="H12">
        <v>1003</v>
      </c>
      <c r="R12">
        <v>1064</v>
      </c>
    </row>
    <row r="13" spans="1:18">
      <c r="A13" t="s">
        <v>143</v>
      </c>
      <c r="B13">
        <v>900</v>
      </c>
      <c r="C13">
        <v>951</v>
      </c>
      <c r="D13">
        <v>1034</v>
      </c>
      <c r="E13">
        <v>1036</v>
      </c>
      <c r="F13">
        <v>1020</v>
      </c>
      <c r="G13">
        <v>938</v>
      </c>
      <c r="H13">
        <v>957</v>
      </c>
      <c r="R13">
        <v>1040</v>
      </c>
    </row>
    <row r="14" spans="1:18">
      <c r="A14" t="s">
        <v>36</v>
      </c>
      <c r="B14">
        <v>903</v>
      </c>
      <c r="C14">
        <v>1011</v>
      </c>
      <c r="D14">
        <v>1005</v>
      </c>
      <c r="E14">
        <v>966</v>
      </c>
      <c r="F14">
        <v>1036</v>
      </c>
      <c r="G14">
        <v>905</v>
      </c>
      <c r="H14">
        <v>874</v>
      </c>
      <c r="R14">
        <v>929</v>
      </c>
    </row>
    <row r="15" spans="1:18">
      <c r="A15" t="s">
        <v>37</v>
      </c>
      <c r="B15">
        <v>783</v>
      </c>
      <c r="C15">
        <v>1010</v>
      </c>
      <c r="D15">
        <v>968</v>
      </c>
      <c r="E15">
        <v>974</v>
      </c>
      <c r="F15">
        <v>970</v>
      </c>
      <c r="G15">
        <v>892</v>
      </c>
      <c r="H15">
        <v>901</v>
      </c>
      <c r="R15">
        <v>958</v>
      </c>
    </row>
    <row r="16" spans="1:18">
      <c r="A16" t="s">
        <v>12</v>
      </c>
      <c r="B16">
        <v>917</v>
      </c>
      <c r="C16">
        <v>1000</v>
      </c>
      <c r="D16">
        <v>957</v>
      </c>
      <c r="E16">
        <v>877</v>
      </c>
      <c r="F16">
        <v>995</v>
      </c>
      <c r="G16">
        <v>906</v>
      </c>
      <c r="H16">
        <v>904</v>
      </c>
      <c r="R16">
        <v>948</v>
      </c>
    </row>
    <row r="18" spans="2:3">
      <c r="B18">
        <f>SUM(B5:B12)</f>
        <v>7337</v>
      </c>
      <c r="C18">
        <f>SUM(C5:C17)</f>
        <v>12185</v>
      </c>
    </row>
    <row r="19" spans="2:3">
      <c r="C19">
        <f>+C18-B18</f>
        <v>4848</v>
      </c>
    </row>
    <row r="20" spans="2:3">
      <c r="C20">
        <f>+C19/B18</f>
        <v>0.66076052882649583</v>
      </c>
    </row>
  </sheetData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5E0C22CAA1144796BD58074F09B00D" ma:contentTypeVersion="0" ma:contentTypeDescription="Create a new document." ma:contentTypeScope="" ma:versionID="33aaf7a123b0aad78b969cdae52b74b1">
  <xsd:schema xmlns:xsd="http://www.w3.org/2001/XMLSchema" xmlns:xs="http://www.w3.org/2001/XMLSchema" xmlns:p="http://schemas.microsoft.com/office/2006/metadata/properties" xmlns:ns2="8deaf124-b6c3-4cdf-8853-9889215b15dc" targetNamespace="http://schemas.microsoft.com/office/2006/metadata/properties" ma:root="true" ma:fieldsID="62c34757b3e4b96d42c983cccbcf0b37" ns2:_="">
    <xsd:import namespace="8deaf124-b6c3-4cdf-8853-9889215b15dc"/>
    <xsd:element name="properties">
      <xsd:complexType>
        <xsd:sequence>
          <xsd:element name="documentManagement">
            <xsd:complexType>
              <xsd:all>
                <xsd:element ref="ns2:o10fb58b6f1b4237af11b5fc8dde9845" minOccurs="0"/>
                <xsd:element ref="ns2:TaxCatchAll" minOccurs="0"/>
                <xsd:element ref="ns2:TaxCatchAllLabel" minOccurs="0"/>
                <xsd:element ref="ns2:de41ccc7d4784b11bfed8e20bf75ca01" minOccurs="0"/>
                <xsd:element ref="ns2:i7c492e22f6d4edeb2075ae5873ec9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af124-b6c3-4cdf-8853-9889215b15dc" elementFormDefault="qualified">
    <xsd:import namespace="http://schemas.microsoft.com/office/2006/documentManagement/types"/>
    <xsd:import namespace="http://schemas.microsoft.com/office/infopath/2007/PartnerControls"/>
    <xsd:element name="o10fb58b6f1b4237af11b5fc8dde9845" ma:index="8" nillable="true" ma:taxonomy="true" ma:internalName="o10fb58b6f1b4237af11b5fc8dde9845" ma:taxonomyFieldName="Center_x0020_Keywords" ma:displayName="Center Keywords" ma:default="" ma:fieldId="{810fb58b-6f1b-4237-af11-b5fc8dde9845}" ma:taxonomyMulti="true" ma:sspId="c33b9d63-b2b8-4e14-927a-26baaa9e7d46" ma:termSetId="07784249-18e1-42a3-b8c4-80cc2e61d7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539836eb-73d5-4e70-89f8-2b619bedc4ec}" ma:internalName="TaxCatchAll" ma:showField="CatchAllData" ma:web="8deaf124-b6c3-4cdf-8853-9889215b1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539836eb-73d5-4e70-89f8-2b619bedc4ec}" ma:internalName="TaxCatchAllLabel" ma:readOnly="true" ma:showField="CatchAllDataLabel" ma:web="8deaf124-b6c3-4cdf-8853-9889215b1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41ccc7d4784b11bfed8e20bf75ca01" ma:index="12" nillable="true" ma:taxonomy="true" ma:internalName="de41ccc7d4784b11bfed8e20bf75ca01" ma:taxonomyFieldName="Focus_x0020_Areas" ma:displayName="Focus Areas" ma:default="" ma:fieldId="{de41ccc7-d478-4b11-bfed-8e20bf75ca01}" ma:taxonomyMulti="true" ma:sspId="c33b9d63-b2b8-4e14-927a-26baaa9e7d46" ma:termSetId="dd637fa2-13de-409b-afce-e50c3bf2b1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c492e22f6d4edeb2075ae5873ec95b" ma:index="14" ma:taxonomy="true" ma:internalName="i7c492e22f6d4edeb2075ae5873ec95b" ma:taxonomyFieldName="Programs" ma:displayName="Programs" ma:default="" ma:fieldId="{27c492e2-2f6d-4ede-b207-5ae5873ec95b}" ma:taxonomyMulti="true" ma:sspId="c33b9d63-b2b8-4e14-927a-26baaa9e7d46" ma:termSetId="f23c33e0-98b5-48db-932d-8d954eda2d2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eaf124-b6c3-4cdf-8853-9889215b15dc">
      <Value>10</Value>
    </TaxCatchAll>
    <de41ccc7d4784b11bfed8e20bf75ca01 xmlns="8deaf124-b6c3-4cdf-8853-9889215b15dc">
      <Terms xmlns="http://schemas.microsoft.com/office/infopath/2007/PartnerControls"/>
    </de41ccc7d4784b11bfed8e20bf75ca01>
    <i7c492e22f6d4edeb2075ae5873ec95b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RHPI</TermName>
          <TermId xmlns="http://schemas.microsoft.com/office/infopath/2007/PartnerControls">12a3fa2a-4274-4462-b1a8-7368adae5780</TermId>
        </TermInfo>
      </Terms>
    </i7c492e22f6d4edeb2075ae5873ec95b>
    <o10fb58b6f1b4237af11b5fc8dde9845 xmlns="8deaf124-b6c3-4cdf-8853-9889215b15dc">
      <Terms xmlns="http://schemas.microsoft.com/office/infopath/2007/PartnerControls"/>
    </o10fb58b6f1b4237af11b5fc8dde9845>
  </documentManagement>
</p:properties>
</file>

<file path=customXml/itemProps1.xml><?xml version="1.0" encoding="utf-8"?>
<ds:datastoreItem xmlns:ds="http://schemas.openxmlformats.org/officeDocument/2006/customXml" ds:itemID="{F3833E58-AF93-412F-93EE-DCEFE931D74B}"/>
</file>

<file path=customXml/itemProps2.xml><?xml version="1.0" encoding="utf-8"?>
<ds:datastoreItem xmlns:ds="http://schemas.openxmlformats.org/officeDocument/2006/customXml" ds:itemID="{8AC50981-D297-4290-8BF7-E0997F483DF4}"/>
</file>

<file path=customXml/itemProps3.xml><?xml version="1.0" encoding="utf-8"?>
<ds:datastoreItem xmlns:ds="http://schemas.openxmlformats.org/officeDocument/2006/customXml" ds:itemID="{C5B903D2-BA53-468C-84F2-F47F597A6A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Inc Stmt</vt:lpstr>
      <vt:lpstr>Balance Sheet</vt:lpstr>
      <vt:lpstr>Graphs</vt:lpstr>
      <vt:lpstr>Bad Debt</vt:lpstr>
      <vt:lpstr>Admissions</vt:lpstr>
      <vt:lpstr>Patient Days</vt:lpstr>
      <vt:lpstr>Adjusted Pt days</vt:lpstr>
      <vt:lpstr>Surgeries</vt:lpstr>
      <vt:lpstr>ER Visits</vt:lpstr>
      <vt:lpstr>Sal % Net Rev</vt:lpstr>
      <vt:lpstr>Salary reduction</vt:lpstr>
      <vt:lpstr>Supply Reductions</vt:lpstr>
      <vt:lpstr>Days in AR gross</vt:lpstr>
      <vt:lpstr>'Bad Debt'!Print_Area</vt:lpstr>
      <vt:lpstr>'Balance Sheet'!Print_Area</vt:lpstr>
      <vt:lpstr>'Days in AR gross'!Print_Area</vt:lpstr>
      <vt:lpstr>'Inc Stmt'!Print_Area</vt:lpstr>
      <vt:lpstr>'Sal % Net Rev'!Print_Area</vt:lpstr>
      <vt:lpstr>'Salary reduction'!Print_Area</vt:lpstr>
      <vt:lpstr>'Supply Reductions'!Print_Area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lquinn</cp:lastModifiedBy>
  <cp:lastPrinted>2009-05-17T18:30:20Z</cp:lastPrinted>
  <dcterms:created xsi:type="dcterms:W3CDTF">2001-04-20T11:27:40Z</dcterms:created>
  <dcterms:modified xsi:type="dcterms:W3CDTF">2011-11-07T17:19:30Z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0x010100775E0C22CAA1144796BD58074F09B00D</vt:lpwstr>
  </property>
  <property fmtid="{D5CDD505-2E9C-101B-9397-08002B2CF9AE}" pid="3" name="Center Keywords">
    <vt:lpwstr/>
  </property>
  <property fmtid="{D5CDD505-2E9C-101B-9397-08002B2CF9AE}" pid="4" name="Programs">
    <vt:lpwstr>10;#RHPI|12a3fa2a-4274-4462-b1a8-7368adae5780</vt:lpwstr>
  </property>
  <property fmtid="{D5CDD505-2E9C-101B-9397-08002B2CF9AE}" pid="5" name="Focus Areas">
    <vt:lpwstr/>
  </property>
</Properties>
</file>